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syrfpp01\Proj\OnondagaCounty\381098_CSOProgramManagement\Task05_Funding\Task5.1_GIF\GIF_Applications\2019\"/>
    </mc:Choice>
  </mc:AlternateContent>
  <xr:revisionPtr revIDLastSave="0" documentId="8_{2DCC0F55-FC02-4D0E-B75F-69E9D93B29DF}" xr6:coauthVersionLast="36" xr6:coauthVersionMax="36" xr10:uidLastSave="{00000000-0000-0000-0000-000000000000}"/>
  <bookViews>
    <workbookView xWindow="1548" yWindow="468" windowWidth="15600" windowHeight="9816" tabRatio="402" activeTab="1" xr2:uid="{00000000-000D-0000-FFFF-FFFF00000000}"/>
  </bookViews>
  <sheets>
    <sheet name="Instructions" sheetId="26" r:id="rId1"/>
    <sheet name="StormwaterBenefits&amp;FundingLimit" sheetId="24" r:id="rId2"/>
    <sheet name="LOOKUPS" sheetId="25" r:id="rId3"/>
  </sheets>
  <definedNames>
    <definedName name="Capture" localSheetId="0">#REF!</definedName>
    <definedName name="Capture">#REF!</definedName>
    <definedName name="CaptureVolume" localSheetId="0">#REF!</definedName>
    <definedName name="CaptureVolume">#REF!</definedName>
    <definedName name="CatpureVolume" localSheetId="0">#REF!</definedName>
    <definedName name="CatpureVolume">#REF!</definedName>
    <definedName name="CSO_Basin">LOOKUPS!$G$3:$G$8</definedName>
    <definedName name="CSO_Basins">LOOKUPS!$G$4:$G$8</definedName>
    <definedName name="Implementation" localSheetId="0">#REF!</definedName>
    <definedName name="Implementation">#REF!</definedName>
    <definedName name="Implementation_" localSheetId="0">#REF!</definedName>
    <definedName name="Implementation_">#REF!</definedName>
    <definedName name="ImplementationPercent" localSheetId="0">#REF!</definedName>
    <definedName name="ImplementationPercent">#REF!</definedName>
    <definedName name="_xlnm.Print_Area" localSheetId="0">Instructions!$B$2:$B$26</definedName>
    <definedName name="_xlnm.Print_Area" localSheetId="2">LOOKUPS!$B$2:$K$42</definedName>
    <definedName name="_xlnm.Print_Area" localSheetId="1">'StormwaterBenefits&amp;FundingLimit'!$B$2:$R$49</definedName>
    <definedName name="WQv" localSheetId="0">#REF!</definedName>
    <definedName name="WQv">#REF!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39" i="24" l="1"/>
  <c r="N39" i="24" s="1"/>
  <c r="N40" i="24" s="1"/>
  <c r="C7" i="24"/>
  <c r="C12" i="24" l="1"/>
  <c r="G25" i="24"/>
  <c r="P19" i="24"/>
  <c r="Q19" i="24" s="1"/>
  <c r="P20" i="24"/>
  <c r="Q20" i="24" s="1"/>
  <c r="P21" i="24"/>
  <c r="Q21" i="24" s="1"/>
  <c r="P22" i="24"/>
  <c r="Q22" i="24" s="1"/>
  <c r="P23" i="24"/>
  <c r="Q23" i="24" s="1"/>
  <c r="P24" i="24"/>
  <c r="Q24" i="24" s="1"/>
  <c r="P25" i="24"/>
  <c r="Q25" i="24" s="1"/>
  <c r="P17" i="24"/>
  <c r="Q17" i="24" s="1"/>
  <c r="P16" i="24"/>
  <c r="Q16" i="24" s="1"/>
  <c r="P18" i="24"/>
  <c r="Q18" i="24" s="1"/>
  <c r="J16" i="24"/>
  <c r="C17" i="24"/>
  <c r="M17" i="24" s="1"/>
  <c r="C18" i="24"/>
  <c r="C19" i="24"/>
  <c r="C20" i="24"/>
  <c r="C21" i="24"/>
  <c r="C22" i="24"/>
  <c r="M22" i="24" s="1"/>
  <c r="C23" i="24"/>
  <c r="M23" i="24" s="1"/>
  <c r="C24" i="24"/>
  <c r="M24" i="24" s="1"/>
  <c r="C25" i="24"/>
  <c r="M25" i="24" s="1"/>
  <c r="M18" i="24"/>
  <c r="M19" i="24"/>
  <c r="M20" i="24"/>
  <c r="L17" i="24"/>
  <c r="L18" i="24"/>
  <c r="L19" i="24"/>
  <c r="L20" i="24"/>
  <c r="L21" i="24"/>
  <c r="L22" i="24"/>
  <c r="L23" i="24"/>
  <c r="L24" i="24"/>
  <c r="L25" i="24"/>
  <c r="L16" i="24"/>
  <c r="K21" i="24"/>
  <c r="J17" i="24"/>
  <c r="K17" i="24" s="1"/>
  <c r="J18" i="24"/>
  <c r="K18" i="24" s="1"/>
  <c r="J19" i="24"/>
  <c r="J20" i="24"/>
  <c r="K20" i="24" s="1"/>
  <c r="J21" i="24"/>
  <c r="G17" i="24"/>
  <c r="G18" i="24"/>
  <c r="G19" i="24"/>
  <c r="G20" i="24"/>
  <c r="G21" i="24"/>
  <c r="G22" i="24"/>
  <c r="G23" i="24"/>
  <c r="G24" i="24"/>
  <c r="G16" i="24"/>
  <c r="D17" i="24"/>
  <c r="D18" i="24"/>
  <c r="D19" i="24"/>
  <c r="D20" i="24"/>
  <c r="D21" i="24"/>
  <c r="D22" i="24"/>
  <c r="D23" i="24"/>
  <c r="D24" i="24"/>
  <c r="D25" i="24"/>
  <c r="D16" i="24"/>
  <c r="M21" i="24"/>
  <c r="F26" i="24"/>
  <c r="N19" i="24" l="1"/>
  <c r="K19" i="24"/>
  <c r="O19" i="24" s="1"/>
  <c r="N21" i="24"/>
  <c r="N20" i="24"/>
  <c r="N18" i="24"/>
  <c r="N17" i="24"/>
  <c r="O18" i="24"/>
  <c r="O17" i="24"/>
  <c r="O20" i="24"/>
  <c r="O21" i="24"/>
  <c r="K16" i="24"/>
  <c r="K7" i="25" l="1"/>
  <c r="E6" i="25" s="1"/>
  <c r="C16" i="24"/>
  <c r="M16" i="24" s="1"/>
  <c r="N16" i="24" s="1"/>
  <c r="O16" i="24" l="1"/>
  <c r="L26" i="24" l="1"/>
  <c r="I25" i="24"/>
  <c r="J25" i="24" s="1"/>
  <c r="I16" i="24"/>
  <c r="C35" i="24"/>
  <c r="O28" i="24" s="1"/>
  <c r="B47" i="24"/>
  <c r="E47" i="24" s="1"/>
  <c r="M38" i="24" s="1"/>
  <c r="N38" i="24" s="1"/>
  <c r="I17" i="24"/>
  <c r="I18" i="24"/>
  <c r="I19" i="24"/>
  <c r="I20" i="24"/>
  <c r="I21" i="24"/>
  <c r="I22" i="24"/>
  <c r="J22" i="24" s="1"/>
  <c r="I23" i="24"/>
  <c r="J23" i="24" s="1"/>
  <c r="I24" i="24"/>
  <c r="J24" i="24" s="1"/>
  <c r="N24" i="24" l="1"/>
  <c r="K24" i="24"/>
  <c r="O24" i="24" s="1"/>
  <c r="N25" i="24"/>
  <c r="K25" i="24"/>
  <c r="O25" i="24" s="1"/>
  <c r="N22" i="24"/>
  <c r="K22" i="24"/>
  <c r="O22" i="24" s="1"/>
  <c r="N23" i="24"/>
  <c r="K23" i="24"/>
  <c r="O23" i="24" s="1"/>
  <c r="J26" i="24"/>
  <c r="M26" i="24"/>
  <c r="O26" i="24" l="1"/>
  <c r="K26" i="24"/>
  <c r="D41" i="24" l="1"/>
  <c r="D38" i="24" l="1"/>
  <c r="E38" i="24" s="1"/>
  <c r="F38" i="24" s="1"/>
  <c r="D42" i="24"/>
  <c r="M36" i="24"/>
  <c r="N36" i="24" s="1"/>
  <c r="O31" i="24" s="1"/>
  <c r="D39" i="24"/>
  <c r="D40" i="24"/>
  <c r="E39" i="24" l="1"/>
  <c r="F39" i="24" s="1"/>
  <c r="E40" i="24" l="1"/>
  <c r="F40" i="24" s="1"/>
  <c r="E41" i="24" l="1"/>
  <c r="F41" i="24" s="1"/>
  <c r="E42" i="24" l="1"/>
  <c r="F42" i="24" s="1"/>
  <c r="F43" i="24" l="1"/>
  <c r="M37" i="24" s="1"/>
  <c r="N37" i="24" s="1"/>
</calcChain>
</file>

<file path=xl/sharedStrings.xml><?xml version="1.0" encoding="utf-8"?>
<sst xmlns="http://schemas.openxmlformats.org/spreadsheetml/2006/main" count="180" uniqueCount="159">
  <si>
    <t>Porous Pavement</t>
  </si>
  <si>
    <t>Green Roof</t>
  </si>
  <si>
    <t>Global Inputs:</t>
  </si>
  <si>
    <t>Average Annual Rainfall (in/yr)</t>
  </si>
  <si>
    <t>Funding Limit for GI ($/gal/yr runoff reduction)</t>
  </si>
  <si>
    <t>Annual Runoff Volume (gal/yr)</t>
  </si>
  <si>
    <t>Estimated Annual Runoff Capture (gal)</t>
  </si>
  <si>
    <t>Estimated Annual Runoff Capture (%)</t>
  </si>
  <si>
    <t>Unit</t>
  </si>
  <si>
    <t>Unit Cost</t>
  </si>
  <si>
    <t>Green Infrastructure Measure</t>
  </si>
  <si>
    <t>Rain Garden</t>
  </si>
  <si>
    <t>Underground Infiltration System</t>
  </si>
  <si>
    <t>Tree</t>
  </si>
  <si>
    <t>Added Green Space</t>
  </si>
  <si>
    <t>SF</t>
  </si>
  <si>
    <t>Ea</t>
  </si>
  <si>
    <t>Typical GI Unit Cost</t>
  </si>
  <si>
    <t>Proposed GI Quantity</t>
  </si>
  <si>
    <t>Parcel Controlled Impervious Drainage Area (SF)</t>
  </si>
  <si>
    <t>Proposed Green Technology</t>
  </si>
  <si>
    <t>Project Name:</t>
  </si>
  <si>
    <t>Required GI Storage for Drainage Area (CF)</t>
  </si>
  <si>
    <t>Gal</t>
  </si>
  <si>
    <t>Bio-Retention</t>
  </si>
  <si>
    <t>Potential Funding Limit Based on Typical Unit GI Costs</t>
  </si>
  <si>
    <t>COLUMN DESCRIPTIONS</t>
  </si>
  <si>
    <t>Column 1</t>
  </si>
  <si>
    <t>Column 2</t>
  </si>
  <si>
    <t>Column 3</t>
  </si>
  <si>
    <t>Column 4</t>
  </si>
  <si>
    <t>Column 5</t>
  </si>
  <si>
    <t>Column 6</t>
  </si>
  <si>
    <t>Column 8</t>
  </si>
  <si>
    <t>Column 11</t>
  </si>
  <si>
    <t>Column 12</t>
  </si>
  <si>
    <t>Column 13</t>
  </si>
  <si>
    <t>Column 14</t>
  </si>
  <si>
    <t>Column 15</t>
  </si>
  <si>
    <t>Potential Funding Limit based on Capture</t>
  </si>
  <si>
    <t>GIF CALCULATOR INPUT INSTRUCTIONS</t>
  </si>
  <si>
    <t>User Inputs Shaded in Green</t>
  </si>
  <si>
    <t>Recommended Maximum Funding Limit (Lesser of Capture and Unit Cost Funding Limits)</t>
  </si>
  <si>
    <t>$0 - $24,999:</t>
  </si>
  <si>
    <t>Lesser Fee</t>
  </si>
  <si>
    <t>Eligible Additional Required Work Subtotal:</t>
  </si>
  <si>
    <t>$25,000 - $49,999:</t>
  </si>
  <si>
    <t>$50,000 - $200,000:</t>
  </si>
  <si>
    <t xml:space="preserve">GI Engineering </t>
  </si>
  <si>
    <t>GI Construction</t>
  </si>
  <si>
    <t>GI Construction $/gal/yr:</t>
  </si>
  <si>
    <t>Maximum Allowable</t>
  </si>
  <si>
    <t>Additional Req Work + GI Const Cost</t>
  </si>
  <si>
    <t>Framework for Engineering Cost Reimbursement:</t>
  </si>
  <si>
    <t>Cost Summary Table</t>
  </si>
  <si>
    <t>Project Location:</t>
  </si>
  <si>
    <t>Field Testing</t>
  </si>
  <si>
    <t>Field Testing Costs:</t>
  </si>
  <si>
    <t>Tree Pit/Trench</t>
  </si>
  <si>
    <t>Cistern Capture Volume (in.)</t>
  </si>
  <si>
    <t>Cistern Volume Required for 1 inch Capture (gal)</t>
  </si>
  <si>
    <t>Dry Well</t>
  </si>
  <si>
    <t>Cistern Reuse</t>
  </si>
  <si>
    <t>$200,001 - $480,000:</t>
  </si>
  <si>
    <t xml:space="preserve"> </t>
  </si>
  <si>
    <t>GIF CALCULATOR FOR MAXIMUM FUNDING AMOUNT TOWARDS GREEN INFRASTRUCTURE (GI) COSTS</t>
  </si>
  <si>
    <t>Itemized Eligible Additional Required Work (As Approved by OCWEP):</t>
  </si>
  <si>
    <t>Requested Funding (Based on Application)</t>
  </si>
  <si>
    <t>Maximum Funding (Based on Calculator)</t>
  </si>
  <si>
    <t>Maximum Funding (Lesser of Application versus Calculator)</t>
  </si>
  <si>
    <t>Description</t>
  </si>
  <si>
    <t>Intended to collect runoff volume in a depression that ponds volume and may or may not include overflow piping</t>
  </si>
  <si>
    <t>Similar to a rain garden, and includes subsurface storage and underground piping, and an overflow system of some type</t>
  </si>
  <si>
    <t>Must exhibit characteristics of Underground Infiltration System</t>
  </si>
  <si>
    <t>The "Funding Limit for GI" ($/gal) is pro-rated at 75% when using this type of system</t>
  </si>
  <si>
    <t>The "Estimated Annual Runoff Capture" is pro-rated at 75% when using this type of system</t>
  </si>
  <si>
    <t>These are evaluated on a case-by-case basis, as they come in many shapes and sizes depending on the application; expectation is that they perform similar to Underground Infiltration Systems; contact OCDWEP to confirm Unit Cost</t>
  </si>
  <si>
    <t>Requested Fee (NTE Actual T&amp;M Costs)</t>
  </si>
  <si>
    <t>Final Maximum Funding (NTE Actual):</t>
  </si>
  <si>
    <t>Priority Level:</t>
  </si>
  <si>
    <t>Caliper size must be 2 inches or greater</t>
  </si>
  <si>
    <t xml:space="preserve">Also known as "removal of impervious area." Impervious area and subbase (if any) must be completely removed, subgrade adequately prepared,  and suitable soils installed. </t>
  </si>
  <si>
    <t>Subsurface stormwater storage system consisting of clean gravel, modular storage (such as arch chambers, etc.), and deep enough to penetrate below frost depth; intended to store full runoff volume while infiltration occurs over time (commensurate with soil infiltration testing); typically manages runoff from an area at least 5 times its own area</t>
  </si>
  <si>
    <t>Intended to be able to collect 1.0 inch of runoff before overflow, or system will be prorated by OCDWEP accordingly (unit cost funding may be higher if Green Roof is only GI option available on property)</t>
  </si>
  <si>
    <t>All types, including adequate subbase to store runoff volumes in accordance with site requirements; typically designed to manage runoff from adjacent impervious area (conventional pavement, roof areas, etc.)</t>
  </si>
  <si>
    <t>CSO Basins</t>
  </si>
  <si>
    <t>Priority</t>
  </si>
  <si>
    <t>Low</t>
  </si>
  <si>
    <t>Medium</t>
  </si>
  <si>
    <t>$480,001+:</t>
  </si>
  <si>
    <t>Estimated Construction Cost</t>
  </si>
  <si>
    <t>Calculated Engineering Cost</t>
  </si>
  <si>
    <t>Calculated Maximum Engineering Fee (Not to Exceed Actual T&amp;M Cost):</t>
  </si>
  <si>
    <r>
      <t>Capture Volume (in.)               [m</t>
    </r>
    <r>
      <rPr>
        <b/>
        <sz val="9"/>
        <rFont val="Calibri"/>
        <family val="2"/>
      </rPr>
      <t>ust be between 0.125 and 2 inches]</t>
    </r>
  </si>
  <si>
    <t>Total:</t>
  </si>
  <si>
    <t>Column 7</t>
  </si>
  <si>
    <t>Column 9</t>
  </si>
  <si>
    <t>Column 10</t>
  </si>
  <si>
    <t>High</t>
  </si>
  <si>
    <t>Step One</t>
  </si>
  <si>
    <t>Step Two</t>
  </si>
  <si>
    <t>Step Three</t>
  </si>
  <si>
    <t>Step Four</t>
  </si>
  <si>
    <t>Step Five</t>
  </si>
  <si>
    <t>Step 6: In the Cost Summary Table, input requested funding for GI Construction, GI Engineering, and Field Testing.</t>
  </si>
  <si>
    <t>Column 16</t>
  </si>
  <si>
    <t xml:space="preserve">*Columns highlighted in green are values entered by the applicant/design professional.   </t>
  </si>
  <si>
    <t>Total Average $/gal/yr Cost Based on Typical Unit GI Costs</t>
  </si>
  <si>
    <t>Additional Required Work:</t>
  </si>
  <si>
    <t>Notes:</t>
  </si>
  <si>
    <t>2. This calculator is solely for the purposes of Save the Rain GIF application funding determinations, and specifically not for design, sizing, or other GI purposes.</t>
  </si>
  <si>
    <t>3. Save the Rain is not responsible for potential calculator errors, and all values are subject to review, approval, and verification by Onondaga County.</t>
  </si>
  <si>
    <t>4. If actual GI construction cost is expected or known to be less than the Maximum Funding (based on calculator), this value should be entered accordingly.</t>
  </si>
  <si>
    <t>Green Roof Unit Costs</t>
  </si>
  <si>
    <t>Roof Priority</t>
  </si>
  <si>
    <t>Cistern Capture &amp; Release</t>
  </si>
  <si>
    <t xml:space="preserve">Step 1: Enter project name and select which CSO the proposed project is tributary to (found using the GI Deployment Priority Map). </t>
  </si>
  <si>
    <t>Step 2: Select the Proposed Green Technology to be used (Unhide/Hide rows to suit the quantity), enter the Quantity, Impervious Drainage Area to be managed, and the Capture Volume provided in inches.  The Estimated Annual Runoff Capture is then calculated automatically.</t>
  </si>
  <si>
    <t>Step 5: On a case by case basis and as reviewed and approved by OCDWEP, additional infrastructure Items are potentially eligible for GIF funding. These shall be entered in the "Itemized Eligible Additional Required Work" box. Items potentially include: Overflow Connection to City sewer, Roof leader to bring runoff from structure to GI, and other items not already included in Proposed Green Technology costs.</t>
  </si>
  <si>
    <r>
      <rPr>
        <b/>
        <sz val="11"/>
        <rFont val="Arial"/>
        <family val="2"/>
      </rPr>
      <t>Column 1:</t>
    </r>
    <r>
      <rPr>
        <sz val="11"/>
        <rFont val="Arial"/>
        <family val="2"/>
      </rPr>
      <t xml:space="preserve"> Drop down list of Green Technologies from "LOOKUPS" worksheet</t>
    </r>
  </si>
  <si>
    <r>
      <rPr>
        <b/>
        <sz val="11"/>
        <rFont val="Arial"/>
        <family val="2"/>
      </rPr>
      <t>Column 2:</t>
    </r>
    <r>
      <rPr>
        <sz val="11"/>
        <rFont val="Arial"/>
        <family val="2"/>
      </rPr>
      <t xml:space="preserve"> Automatically populated based on the Green Technology selected in Column 1 (from "LOOKUPS" worksheet)</t>
    </r>
  </si>
  <si>
    <r>
      <rPr>
        <b/>
        <sz val="11"/>
        <rFont val="Arial"/>
        <family val="2"/>
      </rPr>
      <t>Column 3:</t>
    </r>
    <r>
      <rPr>
        <sz val="11"/>
        <rFont val="Arial"/>
        <family val="2"/>
      </rPr>
      <t xml:space="preserve"> Automatically populated based on the Green Technology selected in Column 1 (from "LOOKUPS" worksheet)</t>
    </r>
  </si>
  <si>
    <t>Step Six</t>
  </si>
  <si>
    <t>THESE COLUMNS ARE SPECIFIC FOR CISTERN SYSTEMS</t>
  </si>
  <si>
    <t xml:space="preserve">Priority </t>
  </si>
  <si>
    <t>Unit Cost per SF</t>
  </si>
  <si>
    <t>Step 3: Compare the "Required GI Storage for Drainage Area," in column 11, to the design professional's calculated storage volume for the proposed green technology. The design storage volume must be equal to or greater than  the storage volume in column 11, so please adjust column 7 accordingly (this is something OCDWEP will review, once the information is made available - either during the application or design phase of a project). Failure to meet the minimum storage volume will result in adjustment of the capture volume and likely less of an award.</t>
  </si>
  <si>
    <t>Step 4: The recommended award amount (Column 14) is the LESSER of the "Potential Funding Limit Based on Capture" (Column 10) and "Potential Funding Limit based on Typical Unit GI Costs" (Column 12).</t>
  </si>
  <si>
    <r>
      <rPr>
        <b/>
        <sz val="11"/>
        <rFont val="Arial"/>
        <family val="2"/>
      </rPr>
      <t>Column 4:</t>
    </r>
    <r>
      <rPr>
        <sz val="11"/>
        <rFont val="Arial"/>
        <family val="2"/>
      </rPr>
      <t xml:space="preserve"> Proposed GI Quantity </t>
    </r>
    <r>
      <rPr>
        <b/>
        <sz val="11"/>
        <rFont val="Arial"/>
        <family val="2"/>
      </rPr>
      <t>(must be in the correct units)</t>
    </r>
    <r>
      <rPr>
        <sz val="11"/>
        <rFont val="Arial"/>
        <family val="2"/>
      </rPr>
      <t xml:space="preserve"> based on the GIF application.</t>
    </r>
  </si>
  <si>
    <r>
      <rPr>
        <b/>
        <sz val="11"/>
        <rFont val="Arial"/>
        <family val="2"/>
      </rPr>
      <t>Column 6:</t>
    </r>
    <r>
      <rPr>
        <sz val="11"/>
        <rFont val="Arial"/>
        <family val="2"/>
      </rPr>
      <t xml:space="preserve"> Total estimated average annual runoff volume generated by the drainage area (available for capture).</t>
    </r>
  </si>
  <si>
    <r>
      <rPr>
        <b/>
        <sz val="11"/>
        <rFont val="Arial"/>
        <family val="2"/>
      </rPr>
      <t>Column 7:</t>
    </r>
    <r>
      <rPr>
        <sz val="11"/>
        <rFont val="Arial"/>
        <family val="2"/>
      </rPr>
      <t xml:space="preserve"> The capture volume in inches over the drainage area that the green technology can capture.  This value is typically 1 inch although is often 2 inches for porous pavement.  </t>
    </r>
    <r>
      <rPr>
        <b/>
        <sz val="11"/>
        <rFont val="Arial"/>
        <family val="2"/>
      </rPr>
      <t>The entered value must be between 0.125 and 2 inches.</t>
    </r>
  </si>
  <si>
    <r>
      <rPr>
        <b/>
        <sz val="11"/>
        <rFont val="Arial"/>
        <family val="2"/>
      </rPr>
      <t>Column 8:</t>
    </r>
    <r>
      <rPr>
        <sz val="11"/>
        <rFont val="Arial"/>
        <family val="2"/>
      </rPr>
      <t xml:space="preserve"> The estimated annual runoff capture (%) is automatically calculated based on the entered capture volume (Column 7).  1 inch = 90% annual capture</t>
    </r>
  </si>
  <si>
    <r>
      <rPr>
        <b/>
        <sz val="11"/>
        <rFont val="Arial"/>
        <family val="2"/>
      </rPr>
      <t>Column 9:</t>
    </r>
    <r>
      <rPr>
        <sz val="11"/>
        <rFont val="Arial"/>
        <family val="2"/>
      </rPr>
      <t xml:space="preserve"> The estimated annual runoff capture (gal) is automatically calculated based on the percent annual capture (Column 8), the average annual rainfall (cell C10) and the impervious drainage area (Column 5).</t>
    </r>
  </si>
  <si>
    <r>
      <rPr>
        <b/>
        <sz val="11"/>
        <rFont val="Arial"/>
        <family val="2"/>
      </rPr>
      <t>Column 10:</t>
    </r>
    <r>
      <rPr>
        <sz val="11"/>
        <rFont val="Arial"/>
        <family val="2"/>
      </rPr>
      <t xml:space="preserve"> The funding limit based on capture is simply the annual runoff capture in gallons (Column 9) multiplied by the $/gal value entered in cell C11 (This value is based on the project's sewershed location and its corresponding priority level).</t>
    </r>
  </si>
  <si>
    <r>
      <rPr>
        <b/>
        <sz val="11"/>
        <rFont val="Arial"/>
        <family val="2"/>
      </rPr>
      <t>Column 11:</t>
    </r>
    <r>
      <rPr>
        <sz val="11"/>
        <rFont val="Arial"/>
        <family val="2"/>
      </rPr>
      <t xml:space="preserve"> The Required GI Storage (CF) is calculated for comparative purposes to ensure the capture volume entered in inches (Column 7) is reasonable.</t>
    </r>
  </si>
  <si>
    <r>
      <rPr>
        <b/>
        <sz val="11"/>
        <rFont val="Arial"/>
        <family val="2"/>
      </rPr>
      <t>Column 12:</t>
    </r>
    <r>
      <rPr>
        <sz val="11"/>
        <rFont val="Arial"/>
        <family val="2"/>
      </rPr>
      <t xml:space="preserve"> The Potential Funding Limit Based on Typical Unit GI Costs is calculated based on the unit GI costs in the "LOOKUPS" worksheet and the GI quantity entered in Column 4.</t>
    </r>
  </si>
  <si>
    <r>
      <rPr>
        <b/>
        <sz val="11"/>
        <rFont val="Arial"/>
        <family val="2"/>
      </rPr>
      <t>Column 13:</t>
    </r>
    <r>
      <rPr>
        <sz val="11"/>
        <rFont val="Arial"/>
        <family val="2"/>
      </rPr>
      <t xml:space="preserve"> The $/gal/yr Cost Based on Typical Unit GI Costs is simply the typical cost calculated in Column 12 divided by the estimated annual capture in gallons (Column 9).  This can be compared to the desired cost efficiency (e.g., $0.35/gal).</t>
    </r>
  </si>
  <si>
    <r>
      <rPr>
        <b/>
        <sz val="11"/>
        <rFont val="Arial"/>
        <family val="2"/>
      </rPr>
      <t>Column 14:</t>
    </r>
    <r>
      <rPr>
        <sz val="11"/>
        <rFont val="Arial"/>
        <family val="2"/>
      </rPr>
      <t xml:space="preserve"> </t>
    </r>
    <r>
      <rPr>
        <b/>
        <sz val="11"/>
        <rFont val="Arial"/>
        <family val="2"/>
      </rPr>
      <t>The Recommended Maximum Funding Limit is simply the lesser of the two potential funding limits</t>
    </r>
    <r>
      <rPr>
        <sz val="11"/>
        <rFont val="Arial"/>
        <family val="2"/>
      </rPr>
      <t xml:space="preserve">, the one based on annual runoff capture (Column 10) and the one based on typical unit GI costs (Column 12). </t>
    </r>
  </si>
  <si>
    <r>
      <rPr>
        <b/>
        <sz val="11"/>
        <rFont val="Arial"/>
        <family val="2"/>
      </rPr>
      <t>Column 15:</t>
    </r>
    <r>
      <rPr>
        <sz val="11"/>
        <rFont val="Arial"/>
        <family val="2"/>
      </rPr>
      <t xml:space="preserve"> The Capture Volume in Inches from Cistern system to enter into Column 7. </t>
    </r>
  </si>
  <si>
    <r>
      <rPr>
        <b/>
        <sz val="11"/>
        <rFont val="Arial"/>
        <family val="2"/>
      </rPr>
      <t>Column 16:</t>
    </r>
    <r>
      <rPr>
        <sz val="11"/>
        <rFont val="Arial"/>
        <family val="2"/>
      </rPr>
      <t xml:space="preserve"> Cistern Tank Volume to compare to Column 4. </t>
    </r>
  </si>
  <si>
    <t>Total Engineering Cost</t>
  </si>
  <si>
    <r>
      <rPr>
        <b/>
        <sz val="11"/>
        <rFont val="Arial"/>
        <family val="2"/>
      </rPr>
      <t>Column 5:</t>
    </r>
    <r>
      <rPr>
        <sz val="11"/>
        <rFont val="Arial"/>
        <family val="2"/>
      </rPr>
      <t xml:space="preserve"> Proposed impervious area draining to the green technology </t>
    </r>
    <r>
      <rPr>
        <b/>
        <sz val="11"/>
        <rFont val="Arial"/>
        <family val="2"/>
      </rPr>
      <t>(in square feet)</t>
    </r>
    <r>
      <rPr>
        <sz val="11"/>
        <rFont val="Arial"/>
        <family val="2"/>
      </rPr>
      <t xml:space="preserve"> based on the values provided in the GIF application (not to exceed 100 square feet per tree).  </t>
    </r>
  </si>
  <si>
    <t>ABC Corporation</t>
  </si>
  <si>
    <t xml:space="preserve">10% of GI Construction Costs (Max: $24,000.00) </t>
  </si>
  <si>
    <t>12% of GI Construction Costs (Max; $20,000.00):</t>
  </si>
  <si>
    <t>15% of GI Construction Costs (Max; $6,000.00):</t>
  </si>
  <si>
    <t>20% of GI Construction Costs (Max: $3,750.00):</t>
  </si>
  <si>
    <t>5% of GI Construction Costs (Max: $100,000.00):</t>
  </si>
  <si>
    <t>CSO-020 (Clinton)</t>
  </si>
  <si>
    <t>CSO-021 (Clinton)</t>
  </si>
  <si>
    <t>CSO-060/077 (Midland)</t>
  </si>
  <si>
    <t>CSO-066 (Clinton)</t>
  </si>
  <si>
    <t>CSO-027, East of Onondaga Creek (Clinton)</t>
  </si>
  <si>
    <t>CSO-007 (Harbor Brook)</t>
  </si>
  <si>
    <t>CSO-009 (Harbor Brook)</t>
  </si>
  <si>
    <t>Resubmission Number:</t>
  </si>
  <si>
    <t>1.  This calculator has been revised to reflect the most recent GIF program modifications (May 2019). It should not be used to calculate award values for previously reviewed projects.</t>
  </si>
  <si>
    <t>Resubmission Deduction</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</si>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</sst>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
    <numFmt numFmtId="165" formatCode="&quot;$&quot;#,##0.00"/>
    <numFmt numFmtId="166" formatCode="&quot;$&quot;#,##0.000_);[Red]\(&quot;$&quot;#,##0.000\)"/>
    <numFmt numFmtId="167" formatCode="_(&quot;$&quot;* #,##0_);_(&quot;$&quot;* \(#,##0\);_(&quot;$&quot;* &quot;-&quot;??_);_(@_)"/>
  </numFmts>
  <fonts count="31" x14ac:knownFonts="1">
    <font>
      <sz val="10"/>
      <name val="Arial"/>
    </font>
    <font>
      <sz val="10"/>
      <name val="Arial"/>
      <family val="2"/>
    </font>
    <font>
      <sz val="8"/>
      <name val="Arial"/>
      <family val="2"/>
    </font>
    <font>
      <sz val="10"/>
      <name val="Calibri"/>
      <family val="2"/>
    </font>
    <font>
      <b/>
      <sz val="10"/>
      <name val="Calibri"/>
      <family val="2"/>
    </font>
    <font>
      <sz val="10"/>
      <name val="Arial"/>
      <family val="2"/>
    </font>
    <font>
      <b/>
      <sz val="12"/>
      <color indexed="60"/>
      <name val="Calibri"/>
      <family val="2"/>
    </font>
    <font>
      <b/>
      <sz val="14"/>
      <name val="Arial"/>
      <family val="2"/>
    </font>
    <font>
      <b/>
      <sz val="10"/>
      <color indexed="60"/>
      <name val="Calibri"/>
      <family val="2"/>
    </font>
    <font>
      <i/>
      <sz val="10"/>
      <name val="Arial"/>
      <family val="2"/>
    </font>
    <font>
      <sz val="8"/>
      <name val="Arial"/>
      <family val="2"/>
    </font>
    <font>
      <b/>
      <sz val="10"/>
      <name val="Arial"/>
      <family val="2"/>
    </font>
    <font>
      <sz val="12"/>
      <name val="Arial"/>
      <family val="2"/>
    </font>
    <font>
      <b/>
      <sz val="14"/>
      <color indexed="60"/>
      <name val="Calibri"/>
      <family val="2"/>
    </font>
    <font>
      <b/>
      <sz val="14"/>
      <name val="Arial Rounded MT Bold"/>
      <family val="2"/>
    </font>
    <font>
      <b/>
      <sz val="11"/>
      <name val="Calibri"/>
      <family val="2"/>
    </font>
    <font>
      <sz val="11"/>
      <name val="Calibri"/>
      <family val="2"/>
    </font>
    <font>
      <sz val="10"/>
      <name val="Calibri"/>
      <family val="2"/>
    </font>
    <font>
      <b/>
      <sz val="10"/>
      <name val="Calibri"/>
      <family val="2"/>
    </font>
    <font>
      <b/>
      <i/>
      <sz val="10"/>
      <color indexed="10"/>
      <name val="Arial"/>
      <family val="2"/>
    </font>
    <font>
      <sz val="10"/>
      <name val="Calibri"/>
      <family val="2"/>
    </font>
    <font>
      <b/>
      <sz val="10"/>
      <color indexed="10"/>
      <name val="Calibri"/>
      <family val="2"/>
    </font>
    <font>
      <b/>
      <sz val="10"/>
      <color indexed="10"/>
      <name val="Arial"/>
      <family val="2"/>
    </font>
    <font>
      <sz val="10"/>
      <name val="Arial"/>
      <family val="2"/>
    </font>
    <font>
      <sz val="10"/>
      <color rgb="FFFF0000"/>
      <name val="Arial"/>
      <family val="2"/>
    </font>
    <font>
      <b/>
      <sz val="9"/>
      <name val="Calibri"/>
      <family val="2"/>
    </font>
    <font>
      <sz val="11"/>
      <name val="Arial"/>
      <family val="2"/>
    </font>
    <font>
      <b/>
      <sz val="11"/>
      <name val="Arial"/>
      <family val="2"/>
    </font>
    <font>
      <sz val="10"/>
      <color indexed="10"/>
      <name val="Calibri"/>
      <family val="2"/>
      <scheme val="minor"/>
    </font>
    <font>
      <b/>
      <sz val="10"/>
      <color indexed="10"/>
      <name val="Calibri"/>
      <family val="2"/>
      <scheme val="minor"/>
    </font>
    <font>
      <b/>
      <sz val="12"/>
      <color rgb="FFFF0000"/>
      <name val="Arial"/>
      <family val="2"/>
    </font>
  </fonts>
  <fills count="1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45"/>
        <bgColor indexed="64"/>
      </patternFill>
    </fill>
    <fill>
      <patternFill patternType="solid">
        <fgColor theme="0"/>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2" tint="-0.249977111117893"/>
        <bgColor indexed="64"/>
      </patternFill>
    </fill>
    <fill>
      <patternFill patternType="solid">
        <fgColor theme="0" tint="-0.149998474074526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286">
    <xf numFmtId="0" fontId="0" fillId="0" borderId="0" xfId="0"/>
    <xf numFmtId="0" fontId="0" fillId="0" borderId="0" xfId="0" applyAlignment="1">
      <alignment horizontal="center" vertical="center"/>
    </xf>
    <xf numFmtId="0" fontId="26" fillId="0" borderId="0" xfId="0" applyFont="1"/>
    <xf numFmtId="0" fontId="16" fillId="0" borderId="0" xfId="0" applyFont="1" applyFill="1" applyBorder="1" applyAlignment="1">
      <alignment horizontal="center" vertical="center"/>
    </xf>
    <xf numFmtId="0" fontId="26" fillId="0" borderId="0" xfId="0" applyFont="1" applyFill="1" applyAlignment="1">
      <alignment vertical="center" wrapText="1"/>
    </xf>
    <xf numFmtId="3" fontId="16" fillId="0" borderId="0" xfId="2" applyNumberFormat="1" applyFont="1" applyFill="1" applyBorder="1" applyAlignment="1">
      <alignment horizontal="center"/>
    </xf>
    <xf numFmtId="3" fontId="16" fillId="0" borderId="0" xfId="0" applyNumberFormat="1" applyFont="1" applyFill="1" applyBorder="1" applyAlignment="1">
      <alignment horizontal="center" vertical="center"/>
    </xf>
    <xf numFmtId="0" fontId="16" fillId="0" borderId="0" xfId="0" applyFont="1" applyFill="1"/>
    <xf numFmtId="0" fontId="26" fillId="0" borderId="0" xfId="0" applyFont="1" applyFill="1"/>
    <xf numFmtId="0" fontId="26" fillId="3" borderId="49" xfId="0" applyFont="1" applyFill="1" applyBorder="1" applyAlignment="1">
      <alignment horizontal="left" vertical="center" wrapText="1"/>
    </xf>
    <xf numFmtId="0" fontId="26" fillId="0" borderId="47" xfId="0" applyFont="1" applyBorder="1" applyAlignment="1">
      <alignment horizontal="left" vertical="center" wrapText="1"/>
    </xf>
    <xf numFmtId="0" fontId="26" fillId="3" borderId="47" xfId="0" applyFont="1" applyFill="1" applyBorder="1" applyAlignment="1">
      <alignment horizontal="left" vertical="center" wrapText="1"/>
    </xf>
    <xf numFmtId="0" fontId="26" fillId="0" borderId="47" xfId="0" applyFont="1" applyFill="1" applyBorder="1" applyAlignment="1">
      <alignment horizontal="left" vertical="center" wrapText="1"/>
    </xf>
    <xf numFmtId="0" fontId="15" fillId="0" borderId="18" xfId="0" applyFont="1" applyBorder="1" applyAlignment="1">
      <alignment wrapText="1"/>
    </xf>
    <xf numFmtId="0" fontId="27" fillId="0" borderId="18" xfId="0" applyFont="1" applyBorder="1" applyAlignment="1">
      <alignment horizontal="left" vertical="center" wrapText="1"/>
    </xf>
    <xf numFmtId="0" fontId="26" fillId="0" borderId="0" xfId="0" applyFont="1" applyAlignment="1">
      <alignment wrapText="1"/>
    </xf>
    <xf numFmtId="0" fontId="26" fillId="0" borderId="48" xfId="0" applyFont="1" applyFill="1" applyBorder="1" applyAlignment="1">
      <alignment horizontal="left" vertical="center" wrapText="1"/>
    </xf>
    <xf numFmtId="0" fontId="1" fillId="0" borderId="0" xfId="0" applyFont="1" applyBorder="1" applyAlignment="1">
      <alignment horizontal="center" vertical="center" wrapText="1"/>
    </xf>
    <xf numFmtId="0" fontId="26" fillId="11" borderId="47" xfId="0" applyFont="1" applyFill="1" applyBorder="1" applyAlignment="1">
      <alignment vertical="center" wrapText="1"/>
    </xf>
    <xf numFmtId="0" fontId="26" fillId="13" borderId="46" xfId="0" applyFont="1" applyFill="1" applyBorder="1" applyAlignment="1">
      <alignment horizontal="left" vertical="center" wrapText="1"/>
    </xf>
    <xf numFmtId="0" fontId="26" fillId="8" borderId="47" xfId="0" applyFont="1" applyFill="1" applyBorder="1" applyAlignment="1">
      <alignment horizontal="left" vertical="center" wrapText="1"/>
    </xf>
    <xf numFmtId="0" fontId="26" fillId="9" borderId="47" xfId="0" applyFont="1" applyFill="1" applyBorder="1" applyAlignment="1">
      <alignment horizontal="left" vertical="center" wrapText="1"/>
    </xf>
    <xf numFmtId="0" fontId="26" fillId="10" borderId="47" xfId="0" applyFont="1" applyFill="1" applyBorder="1" applyAlignment="1">
      <alignment horizontal="left" vertical="center" wrapText="1"/>
    </xf>
    <xf numFmtId="0" fontId="26" fillId="12" borderId="47" xfId="0" applyFont="1" applyFill="1" applyBorder="1" applyAlignment="1">
      <alignment vertical="center" wrapText="1"/>
    </xf>
    <xf numFmtId="6" fontId="0" fillId="0" borderId="0" xfId="0" applyNumberFormat="1" applyBorder="1" applyAlignment="1">
      <alignment horizontal="center" vertical="center" wrapText="1"/>
    </xf>
    <xf numFmtId="0" fontId="0" fillId="0" borderId="22" xfId="0" applyBorder="1" applyAlignment="1">
      <alignment horizontal="center" vertical="center" wrapText="1"/>
    </xf>
    <xf numFmtId="0" fontId="1" fillId="0" borderId="33" xfId="0" applyFont="1" applyBorder="1" applyAlignment="1">
      <alignment horizontal="center" vertical="center" wrapText="1"/>
    </xf>
    <xf numFmtId="0" fontId="0" fillId="0" borderId="39" xfId="0" applyBorder="1" applyAlignment="1">
      <alignment horizontal="center" vertical="center" wrapText="1"/>
    </xf>
    <xf numFmtId="167" fontId="0" fillId="0" borderId="34" xfId="1" applyNumberFormat="1"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0" fillId="0" borderId="40" xfId="0" applyBorder="1" applyAlignment="1">
      <alignment horizontal="center" vertical="center" wrapText="1"/>
    </xf>
    <xf numFmtId="0" fontId="1" fillId="0" borderId="41" xfId="0" applyFont="1" applyBorder="1" applyAlignment="1">
      <alignment horizontal="center" vertical="center" wrapText="1"/>
    </xf>
    <xf numFmtId="0" fontId="0" fillId="0" borderId="37" xfId="0" applyBorder="1" applyAlignment="1">
      <alignment horizontal="center" vertical="center" wrapText="1"/>
    </xf>
    <xf numFmtId="0" fontId="0" fillId="0" borderId="9" xfId="0" applyBorder="1" applyAlignment="1">
      <alignment horizontal="center" vertical="center"/>
    </xf>
    <xf numFmtId="0" fontId="1" fillId="0" borderId="10" xfId="0" applyFont="1" applyFill="1" applyBorder="1" applyAlignment="1">
      <alignment horizontal="center" vertical="center" wrapText="1"/>
    </xf>
    <xf numFmtId="167" fontId="0" fillId="0" borderId="10" xfId="1" applyNumberFormat="1" applyFont="1" applyBorder="1" applyAlignment="1">
      <alignment horizontal="center" vertical="center" wrapText="1"/>
    </xf>
    <xf numFmtId="0" fontId="0" fillId="0" borderId="3" xfId="0" applyFont="1" applyFill="1" applyBorder="1" applyAlignment="1">
      <alignment horizontal="center" vertical="center"/>
    </xf>
    <xf numFmtId="0" fontId="1" fillId="0" borderId="0" xfId="0" applyFont="1" applyAlignment="1">
      <alignment horizontal="center" vertical="center"/>
    </xf>
    <xf numFmtId="0" fontId="1" fillId="0" borderId="4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4" xfId="0" applyFont="1" applyBorder="1" applyAlignment="1">
      <alignment horizontal="center" vertical="center" wrapText="1"/>
    </xf>
    <xf numFmtId="0" fontId="0" fillId="0" borderId="27" xfId="0" applyBorder="1" applyAlignment="1">
      <alignment horizontal="center" vertical="center" wrapText="1"/>
    </xf>
    <xf numFmtId="167" fontId="0" fillId="0" borderId="28" xfId="1" applyNumberFormat="1" applyFont="1" applyBorder="1" applyAlignment="1">
      <alignment horizontal="center" vertical="center" wrapText="1"/>
    </xf>
    <xf numFmtId="0" fontId="1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2" fontId="0" fillId="0" borderId="0" xfId="0" applyNumberFormat="1" applyFill="1" applyBorder="1" applyAlignment="1">
      <alignment horizontal="center" vertical="center"/>
    </xf>
    <xf numFmtId="0" fontId="7" fillId="0" borderId="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11" fillId="0" borderId="18"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0" fillId="14" borderId="51" xfId="0" applyFill="1" applyBorder="1" applyAlignment="1">
      <alignment horizontal="center" vertical="center"/>
    </xf>
    <xf numFmtId="0" fontId="1" fillId="0" borderId="43" xfId="0" applyFont="1" applyBorder="1" applyAlignment="1">
      <alignment horizontal="center" vertical="center" wrapText="1"/>
    </xf>
    <xf numFmtId="0" fontId="0" fillId="0" borderId="0" xfId="0" applyAlignment="1" applyProtection="1">
      <alignment vertical="center"/>
      <protection hidden="1"/>
    </xf>
    <xf numFmtId="0" fontId="0" fillId="0" borderId="0" xfId="0" applyAlignment="1" applyProtection="1">
      <alignment horizontal="center" vertical="center"/>
      <protection hidden="1"/>
    </xf>
    <xf numFmtId="0" fontId="0" fillId="0" borderId="0" xfId="0" applyBorder="1" applyAlignment="1" applyProtection="1">
      <alignment vertical="center"/>
      <protection hidden="1"/>
    </xf>
    <xf numFmtId="0" fontId="6" fillId="0" borderId="15" xfId="0" applyFont="1" applyBorder="1" applyAlignment="1" applyProtection="1">
      <alignment horizontal="left" vertical="center"/>
      <protection hidden="1"/>
    </xf>
    <xf numFmtId="0" fontId="0" fillId="0" borderId="13" xfId="0" applyBorder="1" applyAlignment="1" applyProtection="1">
      <alignment vertical="center"/>
      <protection hidden="1"/>
    </xf>
    <xf numFmtId="0" fontId="0" fillId="0" borderId="13" xfId="0" applyBorder="1" applyAlignment="1" applyProtection="1">
      <alignment horizontal="center" vertical="center"/>
      <protection hidden="1"/>
    </xf>
    <xf numFmtId="0" fontId="6" fillId="3" borderId="9" xfId="0"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17" xfId="0" applyBorder="1" applyAlignment="1" applyProtection="1">
      <alignment vertical="center"/>
      <protection hidden="1"/>
    </xf>
    <xf numFmtId="0" fontId="4" fillId="0" borderId="16" xfId="0" applyFont="1" applyBorder="1" applyAlignment="1" applyProtection="1">
      <alignment horizontal="left" vertical="center"/>
      <protection hidden="1"/>
    </xf>
    <xf numFmtId="0" fontId="4" fillId="0" borderId="16" xfId="0" applyFont="1" applyBorder="1" applyAlignment="1" applyProtection="1">
      <alignment horizontal="right" vertical="center"/>
      <protection hidden="1"/>
    </xf>
    <xf numFmtId="0" fontId="0" fillId="0" borderId="0" xfId="0" applyProtection="1">
      <protection hidden="1"/>
    </xf>
    <xf numFmtId="0" fontId="5" fillId="0" borderId="0" xfId="0" applyFont="1" applyBorder="1" applyAlignment="1" applyProtection="1">
      <alignment vertical="center"/>
      <protection hidden="1"/>
    </xf>
    <xf numFmtId="0" fontId="3" fillId="0" borderId="7" xfId="0" applyFont="1" applyBorder="1" applyAlignment="1" applyProtection="1">
      <alignment vertical="center"/>
      <protection hidden="1"/>
    </xf>
    <xf numFmtId="0" fontId="4" fillId="2" borderId="2" xfId="0" applyFont="1" applyFill="1" applyBorder="1" applyAlignment="1" applyProtection="1">
      <alignment horizontal="center" vertical="center"/>
      <protection hidden="1"/>
    </xf>
    <xf numFmtId="0" fontId="3" fillId="0" borderId="45" xfId="0" applyFont="1" applyBorder="1" applyAlignment="1" applyProtection="1">
      <alignment horizontal="left" vertical="center"/>
      <protection hidden="1"/>
    </xf>
    <xf numFmtId="44" fontId="23" fillId="0" borderId="24" xfId="1" applyFont="1" applyFill="1" applyBorder="1" applyAlignment="1" applyProtection="1">
      <alignment horizontal="center" vertical="center" wrapText="1"/>
      <protection hidden="1"/>
    </xf>
    <xf numFmtId="166" fontId="4" fillId="0" borderId="0" xfId="0" applyNumberFormat="1" applyFont="1" applyFill="1" applyBorder="1" applyAlignment="1" applyProtection="1">
      <alignment horizontal="center" vertical="center"/>
      <protection hidden="1"/>
    </xf>
    <xf numFmtId="44" fontId="0" fillId="0" borderId="0" xfId="0" applyNumberFormat="1" applyBorder="1" applyAlignment="1" applyProtection="1">
      <alignment vertical="center"/>
      <protection hidden="1"/>
    </xf>
    <xf numFmtId="0" fontId="0" fillId="0" borderId="17" xfId="0" applyBorder="1" applyAlignment="1" applyProtection="1">
      <alignment vertical="center" wrapText="1"/>
      <protection hidden="1"/>
    </xf>
    <xf numFmtId="0" fontId="0" fillId="0" borderId="16" xfId="0" applyBorder="1" applyAlignment="1" applyProtection="1">
      <alignment vertical="center" wrapText="1"/>
      <protection hidden="1"/>
    </xf>
    <xf numFmtId="0" fontId="11" fillId="9" borderId="18" xfId="0" applyFont="1" applyFill="1" applyBorder="1" applyAlignment="1" applyProtection="1">
      <alignment horizontal="center" vertical="center"/>
      <protection hidden="1"/>
    </xf>
    <xf numFmtId="0" fontId="11" fillId="10" borderId="30" xfId="0" applyFont="1" applyFill="1" applyBorder="1" applyAlignment="1" applyProtection="1">
      <alignment horizontal="center" vertical="center"/>
      <protection hidden="1"/>
    </xf>
    <xf numFmtId="0" fontId="10" fillId="3" borderId="22" xfId="0" applyFont="1" applyFill="1" applyBorder="1" applyAlignment="1" applyProtection="1">
      <alignment horizontal="center" vertical="center"/>
      <protection hidden="1"/>
    </xf>
    <xf numFmtId="0" fontId="10" fillId="0" borderId="39" xfId="0" applyFont="1" applyBorder="1" applyAlignment="1" applyProtection="1">
      <alignment horizontal="center" vertical="center"/>
      <protection hidden="1"/>
    </xf>
    <xf numFmtId="0" fontId="2" fillId="3" borderId="39" xfId="0" applyFont="1" applyFill="1" applyBorder="1" applyAlignment="1" applyProtection="1">
      <alignment horizontal="center" vertical="center"/>
      <protection hidden="1"/>
    </xf>
    <xf numFmtId="0" fontId="2" fillId="0" borderId="39" xfId="0" applyFont="1" applyFill="1" applyBorder="1" applyAlignment="1" applyProtection="1">
      <alignment horizontal="center" vertical="center"/>
      <protection hidden="1"/>
    </xf>
    <xf numFmtId="0" fontId="2" fillId="0" borderId="39" xfId="0" applyFont="1" applyBorder="1" applyAlignment="1" applyProtection="1">
      <alignment horizontal="center" vertical="center"/>
      <protection hidden="1"/>
    </xf>
    <xf numFmtId="0" fontId="2" fillId="0" borderId="50" xfId="0" applyFont="1" applyBorder="1" applyAlignment="1" applyProtection="1">
      <alignment horizontal="center" vertical="center"/>
      <protection hidden="1"/>
    </xf>
    <xf numFmtId="0" fontId="2" fillId="0" borderId="34" xfId="0" applyFont="1" applyBorder="1" applyAlignment="1" applyProtection="1">
      <alignment horizontal="center" vertical="center"/>
      <protection hidden="1"/>
    </xf>
    <xf numFmtId="0" fontId="9" fillId="0" borderId="0" xfId="0" applyFont="1" applyAlignment="1" applyProtection="1">
      <alignment vertical="center"/>
      <protection hidden="1"/>
    </xf>
    <xf numFmtId="0" fontId="4" fillId="0" borderId="7" xfId="0" applyFont="1" applyBorder="1" applyAlignment="1" applyProtection="1">
      <alignment horizontal="center" vertical="center" wrapText="1"/>
      <protection hidden="1"/>
    </xf>
    <xf numFmtId="0" fontId="4" fillId="0" borderId="8" xfId="0" applyFont="1" applyFill="1" applyBorder="1" applyAlignment="1" applyProtection="1">
      <alignment horizontal="center" vertical="center" wrapText="1"/>
      <protection hidden="1"/>
    </xf>
    <xf numFmtId="0" fontId="6" fillId="0" borderId="8" xfId="0" applyFont="1" applyFill="1" applyBorder="1" applyAlignment="1" applyProtection="1">
      <alignment horizontal="center" vertical="center" wrapText="1"/>
      <protection hidden="1"/>
    </xf>
    <xf numFmtId="0" fontId="21" fillId="5" borderId="53" xfId="0" applyFont="1" applyFill="1" applyBorder="1" applyAlignment="1" applyProtection="1">
      <alignment horizontal="center" vertical="center" wrapText="1"/>
      <protection hidden="1"/>
    </xf>
    <xf numFmtId="0" fontId="29" fillId="5" borderId="2" xfId="0" applyFont="1" applyFill="1" applyBorder="1" applyAlignment="1" applyProtection="1">
      <alignment horizontal="center" vertical="center" wrapText="1"/>
      <protection hidden="1"/>
    </xf>
    <xf numFmtId="0" fontId="0" fillId="0" borderId="0" xfId="0" applyAlignment="1" applyProtection="1">
      <alignment vertical="center" wrapText="1"/>
      <protection hidden="1"/>
    </xf>
    <xf numFmtId="0" fontId="16" fillId="3" borderId="9" xfId="0" applyFont="1" applyFill="1" applyBorder="1" applyAlignment="1" applyProtection="1">
      <alignment horizontal="left" vertical="center"/>
      <protection locked="0" hidden="1"/>
    </xf>
    <xf numFmtId="44" fontId="0" fillId="0" borderId="1" xfId="1" applyFont="1" applyFill="1" applyBorder="1" applyAlignment="1" applyProtection="1">
      <alignment vertical="center" wrapText="1"/>
      <protection hidden="1"/>
    </xf>
    <xf numFmtId="44" fontId="0" fillId="0" borderId="1" xfId="1" applyFont="1" applyFill="1" applyBorder="1" applyAlignment="1" applyProtection="1">
      <alignment horizontal="center" vertical="center" wrapText="1"/>
      <protection hidden="1"/>
    </xf>
    <xf numFmtId="3" fontId="3" fillId="3" borderId="1" xfId="0" applyNumberFormat="1" applyFont="1" applyFill="1" applyBorder="1" applyAlignment="1" applyProtection="1">
      <alignment horizontal="center" vertical="center"/>
      <protection locked="0" hidden="1"/>
    </xf>
    <xf numFmtId="3" fontId="3" fillId="0" borderId="1" xfId="2" applyNumberFormat="1" applyFont="1" applyFill="1" applyBorder="1" applyAlignment="1" applyProtection="1">
      <alignment horizontal="center" vertical="center"/>
      <protection hidden="1"/>
    </xf>
    <xf numFmtId="2" fontId="3" fillId="3" borderId="1" xfId="0" applyNumberFormat="1" applyFont="1" applyFill="1" applyBorder="1" applyAlignment="1" applyProtection="1">
      <alignment horizontal="center" vertical="center"/>
      <protection locked="0" hidden="1"/>
    </xf>
    <xf numFmtId="9" fontId="3" fillId="0" borderId="1" xfId="0" applyNumberFormat="1" applyFont="1" applyFill="1" applyBorder="1" applyAlignment="1" applyProtection="1">
      <alignment horizontal="center" vertical="center" wrapText="1"/>
      <protection hidden="1"/>
    </xf>
    <xf numFmtId="3" fontId="3" fillId="0" borderId="1" xfId="0" applyNumberFormat="1" applyFont="1" applyFill="1" applyBorder="1" applyAlignment="1" applyProtection="1">
      <alignment horizontal="center" vertical="center"/>
      <protection hidden="1"/>
    </xf>
    <xf numFmtId="164" fontId="3" fillId="0" borderId="1" xfId="0" applyNumberFormat="1" applyFont="1" applyFill="1" applyBorder="1" applyAlignment="1" applyProtection="1">
      <alignment horizontal="center" vertical="center"/>
      <protection hidden="1"/>
    </xf>
    <xf numFmtId="165" fontId="3" fillId="0" borderId="1" xfId="0" applyNumberFormat="1" applyFont="1" applyFill="1" applyBorder="1" applyAlignment="1" applyProtection="1">
      <alignment horizontal="center" vertical="center"/>
      <protection hidden="1"/>
    </xf>
    <xf numFmtId="2" fontId="28" fillId="5" borderId="29" xfId="0" applyNumberFormat="1" applyFont="1" applyFill="1" applyBorder="1" applyAlignment="1" applyProtection="1">
      <alignment horizontal="center" vertical="center" wrapText="1"/>
      <protection hidden="1"/>
    </xf>
    <xf numFmtId="3" fontId="28" fillId="5" borderId="10" xfId="0" applyNumberFormat="1" applyFont="1" applyFill="1" applyBorder="1" applyAlignment="1" applyProtection="1">
      <alignment horizontal="center" vertical="center" wrapText="1"/>
      <protection hidden="1"/>
    </xf>
    <xf numFmtId="0" fontId="16" fillId="3" borderId="9" xfId="0" applyFont="1" applyFill="1" applyBorder="1" applyAlignment="1" applyProtection="1">
      <alignment horizontal="left" vertical="center" wrapText="1"/>
      <protection locked="0" hidden="1"/>
    </xf>
    <xf numFmtId="0" fontId="16" fillId="3" borderId="3" xfId="0" applyFont="1" applyFill="1" applyBorder="1" applyAlignment="1" applyProtection="1">
      <alignment horizontal="left" vertical="center" wrapText="1"/>
      <protection locked="0" hidden="1"/>
    </xf>
    <xf numFmtId="44" fontId="0" fillId="0" borderId="54" xfId="1" applyFont="1" applyFill="1" applyBorder="1" applyAlignment="1" applyProtection="1">
      <alignment vertical="center" wrapText="1"/>
      <protection hidden="1"/>
    </xf>
    <xf numFmtId="44" fontId="0" fillId="0" borderId="54" xfId="1" applyFont="1" applyFill="1" applyBorder="1" applyAlignment="1" applyProtection="1">
      <alignment horizontal="center" vertical="center" wrapText="1"/>
      <protection hidden="1"/>
    </xf>
    <xf numFmtId="3" fontId="3" fillId="3" borderId="54" xfId="0" applyNumberFormat="1" applyFont="1" applyFill="1" applyBorder="1" applyAlignment="1" applyProtection="1">
      <alignment horizontal="center" vertical="center"/>
      <protection locked="0" hidden="1"/>
    </xf>
    <xf numFmtId="3" fontId="3" fillId="0" borderId="54" xfId="2" applyNumberFormat="1" applyFont="1" applyFill="1" applyBorder="1" applyAlignment="1" applyProtection="1">
      <alignment horizontal="center" vertical="center"/>
      <protection hidden="1"/>
    </xf>
    <xf numFmtId="2" fontId="3" fillId="3" borderId="54" xfId="0" applyNumberFormat="1" applyFont="1" applyFill="1" applyBorder="1" applyAlignment="1" applyProtection="1">
      <alignment horizontal="center" vertical="center"/>
      <protection locked="0" hidden="1"/>
    </xf>
    <xf numFmtId="9" fontId="3" fillId="0" borderId="54" xfId="0" applyNumberFormat="1" applyFont="1" applyFill="1" applyBorder="1" applyAlignment="1" applyProtection="1">
      <alignment horizontal="center" vertical="center" wrapText="1"/>
      <protection hidden="1"/>
    </xf>
    <xf numFmtId="3" fontId="3" fillId="0" borderId="54" xfId="0" applyNumberFormat="1" applyFont="1" applyFill="1" applyBorder="1" applyAlignment="1" applyProtection="1">
      <alignment horizontal="center" vertical="center"/>
      <protection hidden="1"/>
    </xf>
    <xf numFmtId="164" fontId="3" fillId="0" borderId="54" xfId="0" applyNumberFormat="1" applyFont="1" applyFill="1" applyBorder="1" applyAlignment="1" applyProtection="1">
      <alignment horizontal="center" vertical="center"/>
      <protection hidden="1"/>
    </xf>
    <xf numFmtId="165" fontId="3" fillId="0" borderId="54" xfId="0" applyNumberFormat="1" applyFont="1" applyFill="1" applyBorder="1" applyAlignment="1" applyProtection="1">
      <alignment horizontal="center" vertical="center"/>
      <protection hidden="1"/>
    </xf>
    <xf numFmtId="2" fontId="28" fillId="5" borderId="54" xfId="0" applyNumberFormat="1" applyFont="1" applyFill="1" applyBorder="1" applyAlignment="1" applyProtection="1">
      <alignment horizontal="center" vertical="center" wrapText="1"/>
      <protection hidden="1"/>
    </xf>
    <xf numFmtId="3" fontId="28" fillId="5" borderId="11" xfId="0" applyNumberFormat="1" applyFont="1" applyFill="1" applyBorder="1" applyAlignment="1" applyProtection="1">
      <alignment horizontal="center" vertical="center" wrapText="1"/>
      <protection hidden="1"/>
    </xf>
    <xf numFmtId="0" fontId="4" fillId="0" borderId="16" xfId="0" quotePrefix="1" applyFont="1" applyBorder="1" applyAlignment="1" applyProtection="1">
      <alignment horizontal="center" vertical="center" wrapText="1"/>
      <protection hidden="1"/>
    </xf>
    <xf numFmtId="0" fontId="4" fillId="0" borderId="0" xfId="0" applyFont="1" applyFill="1" applyBorder="1" applyAlignment="1" applyProtection="1">
      <alignment horizontal="right" vertical="center" wrapText="1"/>
      <protection hidden="1"/>
    </xf>
    <xf numFmtId="3" fontId="4" fillId="0" borderId="12" xfId="0" applyNumberFormat="1" applyFont="1" applyFill="1" applyBorder="1" applyAlignment="1" applyProtection="1">
      <alignment horizontal="center" vertical="center"/>
      <protection hidden="1"/>
    </xf>
    <xf numFmtId="3" fontId="4" fillId="0" borderId="0" xfId="0" quotePrefix="1" applyNumberFormat="1" applyFont="1" applyFill="1" applyBorder="1" applyAlignment="1" applyProtection="1">
      <alignment horizontal="center" vertical="center"/>
      <protection hidden="1"/>
    </xf>
    <xf numFmtId="164" fontId="4" fillId="0" borderId="12" xfId="0" applyNumberFormat="1" applyFont="1" applyFill="1" applyBorder="1" applyAlignment="1" applyProtection="1">
      <alignment horizontal="center" vertical="center"/>
      <protection hidden="1"/>
    </xf>
    <xf numFmtId="164" fontId="8" fillId="0" borderId="12" xfId="0" applyNumberFormat="1" applyFont="1" applyFill="1"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3" fillId="0" borderId="0" xfId="0" applyFont="1" applyFill="1" applyBorder="1" applyAlignment="1" applyProtection="1">
      <alignment vertical="center" wrapText="1"/>
      <protection hidden="1"/>
    </xf>
    <xf numFmtId="3" fontId="3" fillId="0" borderId="0" xfId="0" applyNumberFormat="1" applyFont="1" applyFill="1" applyBorder="1" applyAlignment="1" applyProtection="1">
      <alignment horizontal="center" vertical="center"/>
      <protection hidden="1"/>
    </xf>
    <xf numFmtId="9" fontId="3" fillId="0" borderId="0" xfId="2" applyNumberFormat="1" applyFont="1" applyFill="1" applyBorder="1" applyAlignment="1" applyProtection="1">
      <alignment horizontal="center" vertical="center"/>
      <protection hidden="1"/>
    </xf>
    <xf numFmtId="0" fontId="4" fillId="0" borderId="30" xfId="0" applyFont="1" applyBorder="1" applyAlignment="1" applyProtection="1">
      <alignment vertical="center"/>
      <protection hidden="1"/>
    </xf>
    <xf numFmtId="0" fontId="0" fillId="0" borderId="31" xfId="0" applyBorder="1" applyAlignment="1" applyProtection="1">
      <alignment vertical="center"/>
      <protection hidden="1"/>
    </xf>
    <xf numFmtId="0" fontId="11" fillId="0" borderId="0" xfId="0" applyFont="1" applyFill="1" applyBorder="1" applyAlignment="1" applyProtection="1">
      <protection hidden="1"/>
    </xf>
    <xf numFmtId="0" fontId="17" fillId="0" borderId="0" xfId="0" applyFont="1" applyBorder="1" applyAlignment="1" applyProtection="1">
      <alignment vertical="center"/>
      <protection hidden="1"/>
    </xf>
    <xf numFmtId="0" fontId="11" fillId="0" borderId="0" xfId="0" applyFont="1" applyBorder="1" applyAlignment="1" applyProtection="1">
      <alignment horizontal="right" vertical="center"/>
      <protection hidden="1"/>
    </xf>
    <xf numFmtId="44" fontId="1" fillId="0" borderId="18" xfId="1" applyFont="1" applyFill="1" applyBorder="1" applyAlignment="1" applyProtection="1">
      <alignment horizontal="center" vertical="center"/>
      <protection hidden="1"/>
    </xf>
    <xf numFmtId="0" fontId="19" fillId="0" borderId="0" xfId="0" applyFont="1" applyBorder="1" applyAlignment="1" applyProtection="1">
      <alignment vertical="center"/>
      <protection hidden="1"/>
    </xf>
    <xf numFmtId="0" fontId="3" fillId="0" borderId="7" xfId="0" applyFont="1" applyFill="1" applyBorder="1" applyAlignment="1" applyProtection="1">
      <alignment horizontal="left" vertical="center"/>
      <protection hidden="1"/>
    </xf>
    <xf numFmtId="44" fontId="17" fillId="3" borderId="10" xfId="0" applyNumberFormat="1" applyFont="1" applyFill="1" applyBorder="1" applyAlignment="1" applyProtection="1">
      <alignment vertical="center"/>
      <protection locked="0" hidden="1"/>
    </xf>
    <xf numFmtId="0" fontId="1" fillId="0" borderId="0" xfId="0" applyFont="1" applyFill="1" applyBorder="1" applyAlignment="1" applyProtection="1">
      <alignment horizontal="center" wrapText="1"/>
      <protection hidden="1"/>
    </xf>
    <xf numFmtId="0" fontId="0" fillId="0" borderId="0" xfId="0" applyFill="1" applyBorder="1" applyAlignment="1" applyProtection="1">
      <alignment horizontal="center" wrapText="1"/>
      <protection hidden="1"/>
    </xf>
    <xf numFmtId="0" fontId="0" fillId="0" borderId="0" xfId="0" applyFill="1" applyBorder="1" applyAlignment="1" applyProtection="1">
      <alignment horizontal="left"/>
      <protection hidden="1"/>
    </xf>
    <xf numFmtId="0" fontId="0" fillId="0" borderId="0" xfId="0" applyBorder="1" applyAlignment="1" applyProtection="1">
      <alignment vertical="center" wrapText="1"/>
      <protection hidden="1"/>
    </xf>
    <xf numFmtId="0" fontId="0" fillId="0" borderId="0" xfId="0" applyFill="1" applyBorder="1" applyAlignment="1" applyProtection="1">
      <alignment vertical="center"/>
      <protection hidden="1"/>
    </xf>
    <xf numFmtId="0" fontId="3" fillId="7" borderId="0" xfId="0" applyFont="1" applyFill="1" applyBorder="1" applyAlignment="1" applyProtection="1">
      <alignment vertical="center" wrapText="1"/>
      <protection hidden="1"/>
    </xf>
    <xf numFmtId="0" fontId="1" fillId="0" borderId="0" xfId="0" applyFont="1" applyBorder="1" applyAlignment="1" applyProtection="1">
      <alignment horizontal="right" vertical="center"/>
      <protection hidden="1"/>
    </xf>
    <xf numFmtId="0" fontId="17" fillId="0" borderId="9" xfId="0" applyFont="1" applyBorder="1" applyAlignment="1" applyProtection="1">
      <alignment horizontal="left" vertical="center"/>
      <protection hidden="1"/>
    </xf>
    <xf numFmtId="6" fontId="0" fillId="0" borderId="0" xfId="0" applyNumberFormat="1" applyBorder="1" applyAlignment="1" applyProtection="1">
      <alignment vertical="center" wrapText="1"/>
      <protection hidden="1"/>
    </xf>
    <xf numFmtId="9" fontId="0" fillId="0" borderId="0" xfId="0" applyNumberFormat="1" applyFill="1" applyBorder="1" applyAlignment="1" applyProtection="1">
      <alignment horizontal="left"/>
      <protection hidden="1"/>
    </xf>
    <xf numFmtId="0" fontId="1" fillId="0" borderId="0" xfId="0" applyFont="1" applyBorder="1" applyAlignment="1" applyProtection="1">
      <alignment vertical="center"/>
      <protection hidden="1"/>
    </xf>
    <xf numFmtId="0" fontId="1" fillId="0" borderId="17" xfId="0" applyFont="1" applyBorder="1" applyAlignment="1" applyProtection="1">
      <alignment vertical="center"/>
      <protection hidden="1"/>
    </xf>
    <xf numFmtId="0" fontId="17" fillId="0" borderId="3" xfId="0" applyFont="1" applyBorder="1" applyAlignment="1" applyProtection="1">
      <alignment horizontal="left" vertical="center"/>
      <protection hidden="1"/>
    </xf>
    <xf numFmtId="0" fontId="0" fillId="0" borderId="0" xfId="0" applyFill="1" applyBorder="1" applyAlignment="1" applyProtection="1">
      <alignment vertical="center" wrapText="1"/>
      <protection hidden="1"/>
    </xf>
    <xf numFmtId="0" fontId="17" fillId="0" borderId="19" xfId="0" applyFont="1" applyBorder="1" applyAlignment="1" applyProtection="1">
      <alignment horizontal="right" vertical="center"/>
      <protection hidden="1"/>
    </xf>
    <xf numFmtId="44" fontId="18" fillId="0" borderId="18" xfId="0" applyNumberFormat="1" applyFont="1" applyBorder="1" applyAlignment="1" applyProtection="1">
      <alignment vertical="center"/>
      <protection hidden="1"/>
    </xf>
    <xf numFmtId="0" fontId="17" fillId="0" borderId="0" xfId="0" applyFont="1" applyFill="1" applyBorder="1" applyAlignment="1" applyProtection="1">
      <alignment horizontal="left" vertical="center"/>
      <protection hidden="1"/>
    </xf>
    <xf numFmtId="165" fontId="4" fillId="0" borderId="39" xfId="0" applyNumberFormat="1" applyFont="1" applyFill="1" applyBorder="1" applyAlignment="1" applyProtection="1">
      <alignment horizontal="center" vertical="center" wrapText="1"/>
      <protection hidden="1"/>
    </xf>
    <xf numFmtId="0" fontId="17" fillId="0" borderId="16" xfId="0" applyFont="1" applyFill="1" applyBorder="1" applyAlignment="1" applyProtection="1">
      <alignment horizontal="left" vertical="center"/>
      <protection hidden="1"/>
    </xf>
    <xf numFmtId="0" fontId="4" fillId="0" borderId="22" xfId="0" applyFont="1" applyBorder="1" applyAlignment="1" applyProtection="1">
      <alignment vertical="center"/>
      <protection hidden="1"/>
    </xf>
    <xf numFmtId="165" fontId="17" fillId="3" borderId="39" xfId="1" applyNumberFormat="1" applyFont="1" applyFill="1" applyBorder="1" applyAlignment="1" applyProtection="1">
      <alignment vertical="center"/>
      <protection locked="0" hidden="1"/>
    </xf>
    <xf numFmtId="165" fontId="17" fillId="0" borderId="39" xfId="1" applyNumberFormat="1" applyFont="1" applyFill="1" applyBorder="1" applyAlignment="1" applyProtection="1">
      <alignment vertical="center"/>
      <protection hidden="1"/>
    </xf>
    <xf numFmtId="0" fontId="17" fillId="0" borderId="0" xfId="0" applyFont="1" applyFill="1" applyBorder="1" applyAlignment="1" applyProtection="1">
      <alignment vertical="center"/>
      <protection hidden="1"/>
    </xf>
    <xf numFmtId="0" fontId="17" fillId="0" borderId="0" xfId="0" applyFont="1" applyFill="1" applyBorder="1" applyAlignment="1" applyProtection="1">
      <alignment horizontal="center" vertical="center"/>
      <protection hidden="1"/>
    </xf>
    <xf numFmtId="0" fontId="3" fillId="0" borderId="20" xfId="0" applyFont="1" applyBorder="1" applyAlignment="1" applyProtection="1">
      <alignment horizontal="right" vertical="center"/>
      <protection hidden="1"/>
    </xf>
    <xf numFmtId="0" fontId="3" fillId="0" borderId="8" xfId="0" applyFont="1" applyBorder="1" applyAlignment="1" applyProtection="1">
      <alignment horizontal="right" vertical="center"/>
      <protection hidden="1"/>
    </xf>
    <xf numFmtId="44" fontId="3" fillId="0" borderId="8" xfId="0" applyNumberFormat="1" applyFont="1" applyBorder="1" applyAlignment="1" applyProtection="1">
      <alignment horizontal="center" vertical="center"/>
      <protection hidden="1"/>
    </xf>
    <xf numFmtId="165" fontId="3" fillId="0" borderId="8" xfId="0" applyNumberFormat="1" applyFont="1" applyBorder="1" applyAlignment="1" applyProtection="1">
      <alignment vertical="center" wrapText="1"/>
      <protection hidden="1"/>
    </xf>
    <xf numFmtId="0" fontId="3" fillId="0" borderId="21" xfId="0" applyFont="1" applyBorder="1" applyAlignment="1" applyProtection="1">
      <alignment horizontal="right" vertical="center"/>
      <protection hidden="1"/>
    </xf>
    <xf numFmtId="0" fontId="3" fillId="0" borderId="1" xfId="0" applyFont="1" applyBorder="1" applyAlignment="1" applyProtection="1">
      <alignment horizontal="right" vertical="center"/>
      <protection hidden="1"/>
    </xf>
    <xf numFmtId="165" fontId="3" fillId="0" borderId="1" xfId="0" applyNumberFormat="1" applyFont="1" applyBorder="1" applyAlignment="1" applyProtection="1">
      <alignment vertical="center" wrapText="1"/>
      <protection hidden="1"/>
    </xf>
    <xf numFmtId="165" fontId="17" fillId="0" borderId="0" xfId="1" applyNumberFormat="1" applyFont="1" applyFill="1" applyBorder="1" applyAlignment="1" applyProtection="1">
      <alignment horizontal="center" vertical="center"/>
      <protection hidden="1"/>
    </xf>
    <xf numFmtId="3" fontId="14" fillId="0" borderId="0" xfId="0" applyNumberFormat="1" applyFont="1" applyFill="1" applyBorder="1" applyAlignment="1" applyProtection="1">
      <alignment horizontal="right" vertical="center"/>
      <protection hidden="1"/>
    </xf>
    <xf numFmtId="0" fontId="3" fillId="0" borderId="25" xfId="0" applyFont="1" applyBorder="1" applyAlignment="1" applyProtection="1">
      <alignment horizontal="right" vertical="center"/>
      <protection hidden="1"/>
    </xf>
    <xf numFmtId="0" fontId="3" fillId="0" borderId="23" xfId="0" applyFont="1" applyBorder="1" applyAlignment="1" applyProtection="1">
      <alignment horizontal="right" vertical="center"/>
      <protection hidden="1"/>
    </xf>
    <xf numFmtId="165" fontId="3" fillId="0" borderId="23" xfId="0" applyNumberFormat="1" applyFont="1" applyBorder="1" applyAlignment="1" applyProtection="1">
      <alignment vertical="center" wrapText="1"/>
      <protection hidden="1"/>
    </xf>
    <xf numFmtId="165" fontId="1" fillId="0" borderId="0" xfId="0" applyNumberFormat="1" applyFont="1" applyBorder="1" applyAlignment="1" applyProtection="1">
      <alignment horizontal="center" vertical="center"/>
      <protection hidden="1"/>
    </xf>
    <xf numFmtId="0" fontId="3" fillId="0" borderId="9" xfId="0" applyFont="1" applyBorder="1" applyAlignment="1" applyProtection="1">
      <alignment horizontal="right" vertical="center"/>
      <protection hidden="1"/>
    </xf>
    <xf numFmtId="0" fontId="3" fillId="0" borderId="26" xfId="0" applyFont="1" applyBorder="1" applyAlignment="1" applyProtection="1">
      <alignment horizontal="right" vertical="center"/>
      <protection hidden="1"/>
    </xf>
    <xf numFmtId="0" fontId="3" fillId="0" borderId="27" xfId="0" applyFont="1" applyBorder="1" applyAlignment="1" applyProtection="1">
      <alignment horizontal="right" vertical="center"/>
      <protection hidden="1"/>
    </xf>
    <xf numFmtId="165" fontId="3" fillId="0" borderId="27" xfId="0" applyNumberFormat="1" applyFont="1" applyBorder="1" applyAlignment="1" applyProtection="1">
      <alignment vertical="center" wrapText="1"/>
      <protection hidden="1"/>
    </xf>
    <xf numFmtId="0" fontId="17" fillId="0" borderId="16" xfId="0" applyFont="1" applyBorder="1" applyAlignment="1" applyProtection="1">
      <alignment vertical="center"/>
      <protection hidden="1"/>
    </xf>
    <xf numFmtId="0" fontId="3" fillId="0" borderId="0" xfId="0" applyFont="1" applyBorder="1" applyAlignment="1" applyProtection="1">
      <alignment vertical="center"/>
      <protection hidden="1"/>
    </xf>
    <xf numFmtId="0" fontId="4" fillId="0" borderId="0" xfId="0" applyFont="1" applyBorder="1" applyAlignment="1" applyProtection="1">
      <alignment horizontal="right" vertical="center"/>
      <protection hidden="1"/>
    </xf>
    <xf numFmtId="44" fontId="3" fillId="0" borderId="18" xfId="0" applyNumberFormat="1" applyFont="1" applyFill="1" applyBorder="1" applyAlignment="1" applyProtection="1">
      <alignment horizontal="center" vertical="center"/>
      <protection hidden="1"/>
    </xf>
    <xf numFmtId="44" fontId="17" fillId="0" borderId="0" xfId="0" applyNumberFormat="1" applyFont="1" applyBorder="1" applyAlignment="1" applyProtection="1">
      <alignment horizontal="center" vertical="center"/>
      <protection hidden="1"/>
    </xf>
    <xf numFmtId="0" fontId="1" fillId="0" borderId="0" xfId="0" applyFont="1" applyBorder="1" applyAlignment="1" applyProtection="1">
      <alignment vertical="center" wrapText="1"/>
      <protection hidden="1"/>
    </xf>
    <xf numFmtId="0" fontId="17" fillId="0" borderId="0" xfId="0" applyFont="1" applyBorder="1" applyAlignment="1" applyProtection="1">
      <alignment horizontal="right" vertical="center"/>
      <protection hidden="1"/>
    </xf>
    <xf numFmtId="44" fontId="20" fillId="0" borderId="18" xfId="1" applyFont="1" applyBorder="1" applyAlignment="1" applyProtection="1">
      <alignment vertical="center" wrapText="1"/>
      <protection hidden="1"/>
    </xf>
    <xf numFmtId="0" fontId="11" fillId="0" borderId="0" xfId="0" applyFont="1" applyBorder="1" applyAlignment="1" applyProtection="1">
      <alignment horizontal="left" vertical="center" wrapText="1"/>
      <protection hidden="1"/>
    </xf>
    <xf numFmtId="44" fontId="18" fillId="0" borderId="0" xfId="0" applyNumberFormat="1" applyFont="1" applyBorder="1" applyAlignment="1" applyProtection="1">
      <alignment horizontal="center" vertical="center"/>
      <protection hidden="1"/>
    </xf>
    <xf numFmtId="0" fontId="0" fillId="0" borderId="26" xfId="0" applyBorder="1" applyAlignment="1" applyProtection="1">
      <alignment vertical="center"/>
      <protection hidden="1"/>
    </xf>
    <xf numFmtId="0" fontId="0" fillId="0" borderId="14" xfId="0" applyBorder="1" applyAlignment="1" applyProtection="1">
      <alignment vertical="center"/>
      <protection hidden="1"/>
    </xf>
    <xf numFmtId="0" fontId="0" fillId="0" borderId="14" xfId="0" applyBorder="1" applyAlignment="1" applyProtection="1">
      <alignment horizontal="center" vertical="center"/>
      <protection hidden="1"/>
    </xf>
    <xf numFmtId="44" fontId="1" fillId="3" borderId="0" xfId="0" applyNumberFormat="1" applyFont="1" applyFill="1" applyBorder="1" applyAlignment="1" applyProtection="1">
      <alignment vertical="center"/>
      <protection hidden="1"/>
    </xf>
    <xf numFmtId="44" fontId="11" fillId="0" borderId="0" xfId="0" applyNumberFormat="1" applyFont="1" applyBorder="1" applyAlignment="1" applyProtection="1">
      <alignment vertical="center"/>
      <protection hidden="1"/>
    </xf>
    <xf numFmtId="44" fontId="11" fillId="0" borderId="0" xfId="0" applyNumberFormat="1" applyFont="1" applyBorder="1" applyAlignment="1" applyProtection="1">
      <alignment vertical="center" wrapText="1"/>
      <protection hidden="1"/>
    </xf>
    <xf numFmtId="3" fontId="11" fillId="0" borderId="0" xfId="0" applyNumberFormat="1" applyFont="1" applyFill="1" applyBorder="1" applyAlignment="1" applyProtection="1">
      <alignment horizontal="right" vertical="center"/>
      <protection hidden="1"/>
    </xf>
    <xf numFmtId="44" fontId="1" fillId="0" borderId="0" xfId="1" applyNumberFormat="1" applyFont="1" applyFill="1" applyBorder="1" applyAlignment="1" applyProtection="1">
      <alignment horizontal="center" vertical="center"/>
      <protection hidden="1"/>
    </xf>
    <xf numFmtId="44" fontId="1" fillId="3" borderId="0" xfId="1" applyFont="1" applyFill="1" applyBorder="1" applyAlignment="1" applyProtection="1">
      <alignment horizontal="center" vertical="center"/>
      <protection hidden="1"/>
    </xf>
    <xf numFmtId="0" fontId="12" fillId="0" borderId="0" xfId="0" applyFont="1" applyFill="1" applyBorder="1" applyAlignment="1" applyProtection="1">
      <alignment horizontal="right" vertical="center"/>
      <protection hidden="1"/>
    </xf>
    <xf numFmtId="0" fontId="12" fillId="0" borderId="0" xfId="0" applyFont="1" applyBorder="1" applyAlignment="1" applyProtection="1">
      <alignment horizontal="right" vertical="center"/>
      <protection hidden="1"/>
    </xf>
    <xf numFmtId="44" fontId="11" fillId="3" borderId="0" xfId="1" applyFont="1" applyFill="1" applyBorder="1" applyAlignment="1" applyProtection="1">
      <alignment horizontal="center" vertical="center"/>
      <protection hidden="1"/>
    </xf>
    <xf numFmtId="44" fontId="13" fillId="4" borderId="0" xfId="0" applyNumberFormat="1" applyFont="1" applyFill="1" applyBorder="1" applyAlignment="1" applyProtection="1">
      <alignment horizontal="center" vertical="center"/>
      <protection hidden="1"/>
    </xf>
    <xf numFmtId="165" fontId="0" fillId="0" borderId="17" xfId="0" applyNumberFormat="1" applyBorder="1" applyAlignment="1" applyProtection="1">
      <alignment vertical="center"/>
      <protection hidden="1"/>
    </xf>
    <xf numFmtId="0" fontId="3" fillId="0" borderId="9" xfId="0" applyFont="1" applyBorder="1" applyAlignment="1" applyProtection="1">
      <alignment horizontal="left" vertical="center"/>
      <protection hidden="1"/>
    </xf>
    <xf numFmtId="0" fontId="1" fillId="0" borderId="0" xfId="0" applyFont="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14" fontId="30" fillId="0" borderId="42" xfId="0" applyNumberFormat="1" applyFont="1" applyBorder="1" applyAlignment="1" applyProtection="1">
      <alignment vertical="center"/>
      <protection hidden="1"/>
    </xf>
    <xf numFmtId="0" fontId="4" fillId="2" borderId="0" xfId="0" applyFont="1" applyFill="1" applyBorder="1" applyAlignment="1" applyProtection="1">
      <alignment horizontal="center" vertical="center"/>
      <protection hidden="1"/>
    </xf>
    <xf numFmtId="44" fontId="23" fillId="0" borderId="0" xfId="1" applyFont="1" applyFill="1" applyBorder="1" applyAlignment="1" applyProtection="1">
      <alignment horizontal="center" vertical="center" wrapText="1"/>
      <protection hidden="1"/>
    </xf>
    <xf numFmtId="0" fontId="3" fillId="0" borderId="13" xfId="0" applyFont="1" applyFill="1" applyBorder="1" applyAlignment="1" applyProtection="1">
      <alignment vertical="center" wrapText="1"/>
      <protection hidden="1"/>
    </xf>
    <xf numFmtId="165" fontId="3" fillId="0" borderId="0" xfId="0" applyNumberFormat="1" applyFont="1" applyBorder="1" applyAlignment="1" applyProtection="1">
      <alignment vertical="center" wrapText="1"/>
      <protection hidden="1"/>
    </xf>
    <xf numFmtId="44" fontId="3" fillId="0" borderId="0" xfId="0" applyNumberFormat="1" applyFont="1" applyFill="1" applyBorder="1" applyAlignment="1" applyProtection="1">
      <alignment vertical="center"/>
      <protection hidden="1"/>
    </xf>
    <xf numFmtId="44" fontId="3" fillId="0" borderId="0" xfId="0" applyNumberFormat="1" applyFont="1" applyFill="1" applyBorder="1" applyAlignment="1" applyProtection="1">
      <alignment horizontal="center" vertical="center"/>
      <protection hidden="1"/>
    </xf>
    <xf numFmtId="44" fontId="3" fillId="0" borderId="10" xfId="0" applyNumberFormat="1" applyFont="1" applyBorder="1" applyAlignment="1" applyProtection="1">
      <alignment horizontal="center" vertical="center"/>
      <protection hidden="1"/>
    </xf>
    <xf numFmtId="165" fontId="3" fillId="0" borderId="22" xfId="0" applyNumberFormat="1" applyFont="1" applyFill="1" applyBorder="1" applyAlignment="1" applyProtection="1">
      <alignment horizontal="center" vertical="center" wrapText="1"/>
      <protection hidden="1"/>
    </xf>
    <xf numFmtId="0" fontId="3" fillId="0" borderId="34" xfId="0" applyFont="1" applyFill="1" applyBorder="1" applyAlignment="1" applyProtection="1">
      <alignment horizontal="center" vertical="center" wrapText="1"/>
      <protection hidden="1"/>
    </xf>
    <xf numFmtId="44" fontId="17" fillId="0" borderId="32" xfId="1" applyFont="1" applyBorder="1" applyAlignment="1" applyProtection="1">
      <alignment horizontal="right" vertical="center"/>
      <protection hidden="1"/>
    </xf>
    <xf numFmtId="165" fontId="3" fillId="0" borderId="18" xfId="1" applyNumberFormat="1" applyFont="1" applyBorder="1" applyAlignment="1" applyProtection="1">
      <alignment vertical="center"/>
      <protection hidden="1"/>
    </xf>
    <xf numFmtId="6" fontId="1" fillId="0" borderId="0" xfId="0" applyNumberFormat="1" applyFont="1" applyBorder="1" applyAlignment="1" applyProtection="1">
      <alignment vertical="center" wrapText="1"/>
      <protection hidden="1"/>
    </xf>
    <xf numFmtId="0" fontId="19" fillId="0" borderId="0" xfId="0" applyFont="1" applyBorder="1" applyAlignment="1" applyProtection="1">
      <alignment vertical="center" wrapText="1"/>
      <protection hidden="1"/>
    </xf>
    <xf numFmtId="165" fontId="7" fillId="0" borderId="0" xfId="1" applyNumberFormat="1" applyFont="1" applyFill="1" applyBorder="1" applyAlignment="1" applyProtection="1">
      <alignment horizontal="right" vertical="center"/>
      <protection hidden="1"/>
    </xf>
    <xf numFmtId="0" fontId="1" fillId="0" borderId="0" xfId="0" applyFont="1" applyBorder="1" applyProtection="1">
      <protection hidden="1"/>
    </xf>
    <xf numFmtId="0" fontId="0" fillId="0" borderId="17" xfId="0" applyBorder="1" applyAlignment="1" applyProtection="1">
      <alignment horizontal="center" vertical="center"/>
      <protection hidden="1"/>
    </xf>
    <xf numFmtId="0" fontId="0" fillId="0" borderId="51" xfId="0" applyBorder="1" applyAlignment="1" applyProtection="1">
      <alignment horizontal="center" vertical="center"/>
      <protection hidden="1"/>
    </xf>
    <xf numFmtId="165" fontId="1" fillId="4" borderId="50" xfId="1" applyNumberFormat="1" applyFont="1" applyFill="1" applyBorder="1" applyAlignment="1" applyProtection="1">
      <alignment vertical="center"/>
      <protection hidden="1"/>
    </xf>
    <xf numFmtId="165" fontId="1" fillId="4" borderId="31" xfId="1" applyNumberFormat="1" applyFont="1" applyFill="1" applyBorder="1" applyAlignment="1" applyProtection="1">
      <alignment vertical="center"/>
      <protection hidden="1"/>
    </xf>
    <xf numFmtId="165" fontId="7" fillId="6" borderId="30" xfId="1" applyNumberFormat="1" applyFont="1" applyFill="1" applyBorder="1" applyAlignment="1" applyProtection="1">
      <alignment vertical="center"/>
      <protection hidden="1"/>
    </xf>
    <xf numFmtId="165" fontId="7" fillId="6" borderId="31" xfId="1" applyNumberFormat="1" applyFont="1" applyFill="1" applyBorder="1" applyAlignment="1" applyProtection="1">
      <alignment vertical="center"/>
      <protection hidden="1"/>
    </xf>
    <xf numFmtId="165" fontId="4" fillId="0" borderId="30" xfId="0" applyNumberFormat="1" applyFont="1" applyFill="1" applyBorder="1" applyAlignment="1" applyProtection="1">
      <alignment horizontal="center" vertical="center" wrapText="1"/>
      <protection hidden="1"/>
    </xf>
    <xf numFmtId="3" fontId="4" fillId="0" borderId="15" xfId="0" applyNumberFormat="1" applyFont="1" applyFill="1" applyBorder="1" applyAlignment="1" applyProtection="1">
      <alignment horizontal="center" vertical="center"/>
      <protection hidden="1"/>
    </xf>
    <xf numFmtId="165" fontId="4" fillId="0" borderId="19" xfId="0" applyNumberFormat="1" applyFont="1" applyFill="1" applyBorder="1" applyAlignment="1" applyProtection="1">
      <alignment horizontal="center" vertical="center"/>
      <protection hidden="1"/>
    </xf>
    <xf numFmtId="44" fontId="3" fillId="0" borderId="1" xfId="1" applyFont="1" applyBorder="1" applyAlignment="1" applyProtection="1">
      <alignment horizontal="center" vertical="center"/>
      <protection hidden="1"/>
    </xf>
    <xf numFmtId="44" fontId="3" fillId="0" borderId="10" xfId="1" applyFont="1" applyBorder="1" applyAlignment="1" applyProtection="1">
      <alignment horizontal="center" vertical="center"/>
      <protection hidden="1"/>
    </xf>
    <xf numFmtId="44" fontId="3" fillId="0" borderId="23" xfId="1" applyFont="1" applyBorder="1" applyAlignment="1" applyProtection="1">
      <alignment horizontal="center" vertical="center"/>
      <protection hidden="1"/>
    </xf>
    <xf numFmtId="44" fontId="3" fillId="0" borderId="1" xfId="1" applyFont="1" applyFill="1" applyBorder="1" applyAlignment="1" applyProtection="1">
      <alignment horizontal="center" vertical="center"/>
      <protection hidden="1"/>
    </xf>
    <xf numFmtId="44" fontId="3" fillId="0" borderId="27" xfId="1" applyFont="1" applyBorder="1" applyAlignment="1" applyProtection="1">
      <alignment horizontal="center" vertical="center"/>
      <protection hidden="1"/>
    </xf>
    <xf numFmtId="0" fontId="0" fillId="0" borderId="9" xfId="0"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Border="1" applyAlignment="1" applyProtection="1">
      <alignment horizontal="left" vertical="center" wrapText="1"/>
      <protection hidden="1"/>
    </xf>
    <xf numFmtId="0" fontId="1" fillId="0" borderId="17" xfId="0" applyFont="1" applyBorder="1" applyAlignment="1" applyProtection="1">
      <alignment horizontal="left" vertical="center" wrapText="1"/>
      <protection hidden="1"/>
    </xf>
    <xf numFmtId="0" fontId="11" fillId="13" borderId="36" xfId="0" applyFont="1" applyFill="1" applyBorder="1" applyAlignment="1" applyProtection="1">
      <alignment horizontal="center" vertical="center"/>
      <protection hidden="1"/>
    </xf>
    <xf numFmtId="0" fontId="11" fillId="13" borderId="19" xfId="0" applyFont="1" applyFill="1" applyBorder="1" applyAlignment="1" applyProtection="1">
      <alignment horizontal="center" vertical="center"/>
      <protection hidden="1"/>
    </xf>
    <xf numFmtId="0" fontId="11" fillId="13" borderId="12" xfId="0" applyFont="1" applyFill="1" applyBorder="1" applyAlignment="1" applyProtection="1">
      <alignment horizontal="center" vertical="center"/>
      <protection hidden="1"/>
    </xf>
    <xf numFmtId="0" fontId="24" fillId="3" borderId="20" xfId="0" applyFont="1" applyFill="1" applyBorder="1" applyAlignment="1" applyProtection="1">
      <alignment vertical="center"/>
      <protection locked="0" hidden="1"/>
    </xf>
    <xf numFmtId="0" fontId="24" fillId="3" borderId="55" xfId="0" applyFont="1" applyFill="1" applyBorder="1" applyAlignment="1" applyProtection="1">
      <alignment vertical="center"/>
      <protection locked="0" hidden="1"/>
    </xf>
    <xf numFmtId="0" fontId="24" fillId="3" borderId="56" xfId="0" applyFont="1" applyFill="1" applyBorder="1" applyAlignment="1" applyProtection="1">
      <alignment vertical="center"/>
      <protection locked="0" hidden="1"/>
    </xf>
    <xf numFmtId="0" fontId="24" fillId="3" borderId="21" xfId="0" applyFont="1" applyFill="1" applyBorder="1" applyAlignment="1" applyProtection="1">
      <alignment vertical="center"/>
      <protection locked="0" hidden="1"/>
    </xf>
    <xf numFmtId="0" fontId="24" fillId="3" borderId="35" xfId="0" applyFont="1" applyFill="1" applyBorder="1" applyAlignment="1" applyProtection="1">
      <alignment vertical="center"/>
      <protection locked="0" hidden="1"/>
    </xf>
    <xf numFmtId="0" fontId="24" fillId="0" borderId="35" xfId="0" applyFont="1" applyBorder="1" applyAlignment="1" applyProtection="1">
      <alignment vertical="center"/>
      <protection locked="0" hidden="1"/>
    </xf>
    <xf numFmtId="0" fontId="24" fillId="0" borderId="57" xfId="0" applyFont="1" applyBorder="1" applyAlignment="1" applyProtection="1">
      <alignment vertical="center"/>
      <protection locked="0" hidden="1"/>
    </xf>
    <xf numFmtId="0" fontId="4" fillId="11" borderId="30" xfId="0" applyFont="1" applyFill="1" applyBorder="1" applyAlignment="1" applyProtection="1">
      <alignment horizontal="center" vertical="center" wrapText="1"/>
      <protection hidden="1"/>
    </xf>
    <xf numFmtId="0" fontId="4" fillId="11" borderId="31" xfId="0" applyFont="1" applyFill="1" applyBorder="1" applyAlignment="1" applyProtection="1">
      <alignment horizontal="center" vertical="center" wrapText="1"/>
      <protection hidden="1"/>
    </xf>
    <xf numFmtId="0" fontId="4" fillId="8" borderId="30" xfId="0" applyFont="1" applyFill="1" applyBorder="1" applyAlignment="1" applyProtection="1">
      <alignment horizontal="center" vertical="center"/>
      <protection hidden="1"/>
    </xf>
    <xf numFmtId="0" fontId="4" fillId="8" borderId="32" xfId="0" applyFont="1" applyFill="1" applyBorder="1" applyAlignment="1" applyProtection="1">
      <alignment horizontal="center" vertical="center"/>
      <protection hidden="1"/>
    </xf>
    <xf numFmtId="0" fontId="4" fillId="8" borderId="31" xfId="0" applyFont="1" applyFill="1" applyBorder="1" applyAlignment="1" applyProtection="1">
      <alignment horizontal="center" vertical="center"/>
      <protection hidden="1"/>
    </xf>
    <xf numFmtId="165" fontId="4" fillId="0" borderId="50" xfId="0" applyNumberFormat="1" applyFont="1" applyFill="1" applyBorder="1" applyAlignment="1" applyProtection="1">
      <alignment horizontal="center" vertical="center" wrapText="1"/>
      <protection hidden="1"/>
    </xf>
    <xf numFmtId="165" fontId="4" fillId="0" borderId="31" xfId="0" applyNumberFormat="1" applyFont="1" applyFill="1" applyBorder="1" applyAlignment="1" applyProtection="1">
      <alignment horizontal="center" vertical="center" wrapText="1"/>
      <protection hidden="1"/>
    </xf>
    <xf numFmtId="0" fontId="11" fillId="12" borderId="30" xfId="0" applyFont="1" applyFill="1" applyBorder="1" applyAlignment="1" applyProtection="1">
      <alignment horizontal="center" vertical="center" wrapText="1"/>
      <protection hidden="1"/>
    </xf>
    <xf numFmtId="0" fontId="11" fillId="12" borderId="32" xfId="0" applyFont="1" applyFill="1" applyBorder="1" applyAlignment="1" applyProtection="1">
      <alignment horizontal="center" vertical="center" wrapText="1"/>
      <protection hidden="1"/>
    </xf>
    <xf numFmtId="0" fontId="11" fillId="12" borderId="31" xfId="0" applyFont="1" applyFill="1" applyBorder="1" applyAlignment="1" applyProtection="1">
      <alignment horizontal="center" vertical="center" wrapText="1"/>
      <protection hidden="1"/>
    </xf>
    <xf numFmtId="3" fontId="14" fillId="0" borderId="30" xfId="0" applyNumberFormat="1" applyFont="1" applyFill="1" applyBorder="1" applyAlignment="1" applyProtection="1">
      <alignment horizontal="center" vertical="center"/>
      <protection hidden="1"/>
    </xf>
    <xf numFmtId="3" fontId="14" fillId="0" borderId="32" xfId="0" applyNumberFormat="1" applyFont="1" applyFill="1" applyBorder="1" applyAlignment="1" applyProtection="1">
      <alignment horizontal="center" vertical="center"/>
      <protection hidden="1"/>
    </xf>
    <xf numFmtId="3" fontId="14" fillId="0" borderId="31" xfId="0" applyNumberFormat="1" applyFont="1" applyFill="1" applyBorder="1" applyAlignment="1" applyProtection="1">
      <alignment horizontal="center" vertical="center"/>
      <protection hidden="1"/>
    </xf>
    <xf numFmtId="165" fontId="3" fillId="0" borderId="30" xfId="0" applyNumberFormat="1" applyFont="1" applyFill="1" applyBorder="1" applyAlignment="1" applyProtection="1">
      <alignment horizontal="center" vertical="center" wrapText="1"/>
      <protection hidden="1"/>
    </xf>
    <xf numFmtId="165" fontId="3" fillId="0" borderId="33" xfId="0" applyNumberFormat="1" applyFont="1" applyFill="1" applyBorder="1" applyAlignment="1" applyProtection="1">
      <alignment horizontal="center" vertical="center" wrapText="1"/>
      <protection hidden="1"/>
    </xf>
    <xf numFmtId="6" fontId="1" fillId="0" borderId="0" xfId="0" applyNumberFormat="1" applyFont="1" applyBorder="1" applyAlignment="1" applyProtection="1">
      <alignment horizontal="left" vertical="center" wrapText="1"/>
      <protection hidden="1"/>
    </xf>
    <xf numFmtId="6" fontId="1" fillId="0" borderId="17" xfId="0" applyNumberFormat="1" applyFont="1" applyBorder="1" applyAlignment="1" applyProtection="1">
      <alignment horizontal="left" vertical="center" wrapText="1"/>
      <protection hidden="1"/>
    </xf>
    <xf numFmtId="0" fontId="22" fillId="5" borderId="30" xfId="0" applyFont="1" applyFill="1" applyBorder="1" applyAlignment="1" applyProtection="1">
      <alignment horizontal="center" vertical="center" wrapText="1"/>
      <protection hidden="1"/>
    </xf>
    <xf numFmtId="0" fontId="22" fillId="5" borderId="31" xfId="0" applyFont="1" applyFill="1" applyBorder="1" applyAlignment="1" applyProtection="1">
      <alignment horizontal="center" vertical="center" wrapText="1"/>
      <protection hidden="1"/>
    </xf>
    <xf numFmtId="0" fontId="1" fillId="0" borderId="0"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14" xfId="0" applyFont="1" applyBorder="1" applyAlignment="1" applyProtection="1">
      <alignment horizontal="center" vertical="center" wrapText="1"/>
      <protection hidden="1"/>
    </xf>
    <xf numFmtId="0" fontId="3" fillId="0" borderId="13" xfId="0" applyFont="1" applyBorder="1" applyAlignment="1" applyProtection="1">
      <alignment horizontal="center" vertical="center" wrapText="1"/>
      <protection hidden="1"/>
    </xf>
    <xf numFmtId="165" fontId="3" fillId="0" borderId="0" xfId="0" applyNumberFormat="1" applyFont="1" applyFill="1" applyBorder="1" applyAlignment="1" applyProtection="1">
      <alignment horizontal="center" vertical="center" wrapText="1"/>
      <protection hidden="1"/>
    </xf>
    <xf numFmtId="165" fontId="3" fillId="0" borderId="14" xfId="0" applyNumberFormat="1"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14" xfId="0" applyFont="1" applyFill="1" applyBorder="1" applyAlignment="1" applyProtection="1">
      <alignment horizontal="center" vertical="center" wrapText="1"/>
      <protection hidden="1"/>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4" fillId="0" borderId="25" xfId="0" applyFont="1" applyFill="1" applyBorder="1" applyAlignment="1" applyProtection="1">
      <alignment vertical="center"/>
      <protection hidden="1"/>
    </xf>
    <xf numFmtId="0" fontId="24" fillId="0" borderId="60" xfId="0" applyFont="1" applyFill="1" applyBorder="1" applyAlignment="1" applyProtection="1">
      <alignment vertical="center"/>
      <protection hidden="1"/>
    </xf>
    <xf numFmtId="0" fontId="24" fillId="0" borderId="61" xfId="0" applyFont="1" applyFill="1" applyBorder="1" applyAlignment="1" applyProtection="1">
      <alignment vertical="center"/>
      <protection hidden="1"/>
    </xf>
    <xf numFmtId="0" fontId="24" fillId="3" borderId="58" xfId="0" applyFont="1" applyFill="1" applyBorder="1" applyAlignment="1" applyProtection="1">
      <alignment horizontal="left" vertical="center"/>
      <protection locked="0" hidden="1"/>
    </xf>
    <xf numFmtId="0" fontId="24" fillId="3" borderId="59" xfId="0" applyFont="1" applyFill="1" applyBorder="1" applyAlignment="1" applyProtection="1">
      <alignment horizontal="left" vertical="center"/>
      <protection locked="0" hidden="1"/>
    </xf>
    <xf numFmtId="0" fontId="24" fillId="3" borderId="52" xfId="0" applyFont="1" applyFill="1" applyBorder="1" applyAlignment="1" applyProtection="1">
      <alignment horizontal="left" vertical="center"/>
      <protection locked="0" hidden="1"/>
    </xf>
    <xf numFmtId="165" fontId="3" fillId="0" borderId="39" xfId="1" applyNumberFormat="1" applyFont="1" applyFill="1" applyBorder="1" applyAlignment="1" applyProtection="1">
      <alignment vertical="center"/>
      <protection locked="0" hidden="1"/>
    </xf>
  </cellXfs>
  <cellStyles count="4">
    <cellStyle name="Currency" xfId="1" builtinId="4"/>
    <cellStyle name="Normal" xfId="0" builtinId="0"/>
    <cellStyle name="Normal 2" xfId="3" xr:uid="{00000000-0005-0000-0000-00000200000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indexed="44"/>
    <pageSetUpPr fitToPage="1"/>
  </sheetPr>
  <dimension ref="B1:N26"/>
  <sheetViews>
    <sheetView zoomScale="85" zoomScaleNormal="85" workbookViewId="0">
      <selection activeCell="B7" sqref="B7"/>
    </sheetView>
  </sheetViews>
  <sheetFormatPr defaultColWidth="9.109375" defaultRowHeight="13.8" x14ac:dyDescent="0.25"/>
  <cols>
    <col min="1" max="1" width="9.109375" style="2"/>
    <col min="2" max="2" width="124.33203125" style="2" bestFit="1" customWidth="1"/>
    <col min="3" max="3" width="9.88671875" style="2" customWidth="1"/>
    <col min="4" max="4" width="9.109375" style="2"/>
    <col min="5" max="5" width="10.44140625" style="2" bestFit="1" customWidth="1"/>
    <col min="6" max="16384" width="9.109375" style="2"/>
  </cols>
  <sheetData>
    <row r="1" spans="2:14" ht="14.4" thickBot="1" x14ac:dyDescent="0.3"/>
    <row r="2" spans="2:14" ht="15" thickBot="1" x14ac:dyDescent="0.35">
      <c r="B2" s="13" t="s">
        <v>40</v>
      </c>
    </row>
    <row r="3" spans="2:14" ht="20.399999999999999" customHeight="1" x14ac:dyDescent="0.25">
      <c r="B3" s="19" t="s">
        <v>116</v>
      </c>
    </row>
    <row r="4" spans="2:14" ht="48" customHeight="1" x14ac:dyDescent="0.25">
      <c r="B4" s="20" t="s">
        <v>117</v>
      </c>
    </row>
    <row r="5" spans="2:14" ht="76.2" customHeight="1" x14ac:dyDescent="0.25">
      <c r="B5" s="21" t="s">
        <v>126</v>
      </c>
    </row>
    <row r="6" spans="2:14" ht="34.950000000000003" customHeight="1" x14ac:dyDescent="0.25">
      <c r="B6" s="22" t="s">
        <v>127</v>
      </c>
    </row>
    <row r="7" spans="2:14" ht="63.6" customHeight="1" x14ac:dyDescent="0.25">
      <c r="B7" s="18" t="s">
        <v>118</v>
      </c>
    </row>
    <row r="8" spans="2:14" ht="20.399999999999999" customHeight="1" thickBot="1" x14ac:dyDescent="0.3">
      <c r="B8" s="23" t="s">
        <v>104</v>
      </c>
    </row>
    <row r="9" spans="2:14" ht="15" thickBot="1" x14ac:dyDescent="0.35">
      <c r="B9" s="14" t="s">
        <v>26</v>
      </c>
      <c r="D9" s="3"/>
      <c r="E9" s="4"/>
      <c r="F9" s="5"/>
      <c r="G9" s="4"/>
      <c r="H9" s="4"/>
      <c r="I9" s="6"/>
      <c r="J9" s="6"/>
      <c r="K9" s="6"/>
      <c r="L9" s="6"/>
      <c r="M9" s="6"/>
      <c r="N9" s="6"/>
    </row>
    <row r="10" spans="2:14" ht="18" customHeight="1" x14ac:dyDescent="0.3">
      <c r="B10" s="9" t="s">
        <v>119</v>
      </c>
      <c r="D10" s="3"/>
      <c r="E10" s="4"/>
      <c r="F10" s="5"/>
      <c r="G10" s="4"/>
      <c r="H10" s="4"/>
      <c r="I10" s="6"/>
      <c r="J10" s="6"/>
      <c r="K10" s="6"/>
      <c r="L10" s="6"/>
      <c r="M10" s="6"/>
      <c r="N10" s="6"/>
    </row>
    <row r="11" spans="2:14" ht="34.950000000000003" customHeight="1" x14ac:dyDescent="0.3">
      <c r="B11" s="10" t="s">
        <v>120</v>
      </c>
      <c r="D11" s="7"/>
      <c r="E11" s="8"/>
      <c r="F11" s="7"/>
      <c r="G11" s="8"/>
      <c r="H11" s="8"/>
      <c r="I11" s="7"/>
      <c r="J11" s="7"/>
      <c r="K11" s="7"/>
      <c r="L11" s="7"/>
      <c r="M11" s="7"/>
      <c r="N11" s="7"/>
    </row>
    <row r="12" spans="2:14" ht="34.950000000000003" customHeight="1" x14ac:dyDescent="0.3">
      <c r="B12" s="10" t="s">
        <v>121</v>
      </c>
      <c r="D12" s="8"/>
      <c r="E12" s="8"/>
      <c r="F12" s="7"/>
      <c r="G12" s="8"/>
      <c r="H12" s="8"/>
      <c r="I12" s="7"/>
      <c r="J12" s="7"/>
      <c r="K12" s="7"/>
      <c r="L12" s="7"/>
      <c r="M12" s="7"/>
      <c r="N12" s="7"/>
    </row>
    <row r="13" spans="2:14" ht="34.950000000000003" customHeight="1" x14ac:dyDescent="0.25">
      <c r="B13" s="11" t="s">
        <v>128</v>
      </c>
      <c r="D13" s="8"/>
      <c r="E13" s="8"/>
      <c r="F13" s="8"/>
      <c r="G13" s="8"/>
      <c r="H13" s="8"/>
      <c r="I13" s="8"/>
      <c r="J13" s="8"/>
      <c r="K13" s="8"/>
      <c r="L13" s="8"/>
      <c r="M13" s="8"/>
      <c r="N13" s="8"/>
    </row>
    <row r="14" spans="2:14" ht="34.950000000000003" customHeight="1" x14ac:dyDescent="0.25">
      <c r="B14" s="11" t="s">
        <v>141</v>
      </c>
      <c r="D14" s="8"/>
      <c r="E14" s="8"/>
      <c r="F14" s="8"/>
      <c r="G14" s="8"/>
      <c r="H14" s="8"/>
      <c r="I14" s="8"/>
      <c r="J14" s="8"/>
      <c r="K14" s="8"/>
      <c r="L14" s="8"/>
      <c r="M14" s="8"/>
      <c r="N14" s="8"/>
    </row>
    <row r="15" spans="2:14" ht="34.950000000000003" customHeight="1" x14ac:dyDescent="0.25">
      <c r="B15" s="10" t="s">
        <v>129</v>
      </c>
      <c r="D15" s="8"/>
      <c r="E15" s="8"/>
      <c r="F15" s="8"/>
      <c r="G15" s="8"/>
      <c r="H15" s="8"/>
      <c r="I15" s="8"/>
      <c r="J15" s="8"/>
      <c r="K15" s="8"/>
      <c r="L15" s="8"/>
      <c r="M15" s="8"/>
      <c r="N15" s="8"/>
    </row>
    <row r="16" spans="2:14" ht="34.950000000000003" customHeight="1" x14ac:dyDescent="0.25">
      <c r="B16" s="11" t="s">
        <v>130</v>
      </c>
      <c r="D16" s="8"/>
      <c r="E16" s="8"/>
      <c r="F16" s="8"/>
      <c r="G16" s="8"/>
      <c r="H16" s="8"/>
      <c r="I16" s="8"/>
      <c r="J16" s="8"/>
      <c r="K16" s="8"/>
      <c r="L16" s="8"/>
      <c r="M16" s="8"/>
      <c r="N16" s="8"/>
    </row>
    <row r="17" spans="2:14" ht="34.950000000000003" customHeight="1" x14ac:dyDescent="0.25">
      <c r="B17" s="10" t="s">
        <v>131</v>
      </c>
      <c r="D17" s="8"/>
      <c r="E17" s="8"/>
      <c r="F17" s="8"/>
      <c r="G17" s="8"/>
      <c r="H17" s="8"/>
      <c r="I17" s="8"/>
      <c r="J17" s="8"/>
      <c r="K17" s="8"/>
      <c r="L17" s="8"/>
      <c r="M17" s="8"/>
      <c r="N17" s="8"/>
    </row>
    <row r="18" spans="2:14" ht="34.950000000000003" customHeight="1" x14ac:dyDescent="0.25">
      <c r="B18" s="10" t="s">
        <v>132</v>
      </c>
      <c r="D18" s="8"/>
      <c r="E18" s="8"/>
      <c r="F18" s="8"/>
      <c r="G18" s="8"/>
      <c r="H18" s="8"/>
      <c r="I18" s="8"/>
      <c r="J18" s="8"/>
      <c r="K18" s="8"/>
      <c r="L18" s="8"/>
      <c r="M18" s="8"/>
      <c r="N18" s="8"/>
    </row>
    <row r="19" spans="2:14" ht="34.950000000000003" customHeight="1" x14ac:dyDescent="0.25">
      <c r="B19" s="10" t="s">
        <v>133</v>
      </c>
      <c r="D19" s="8"/>
      <c r="E19" s="8"/>
      <c r="F19" s="8"/>
      <c r="G19" s="8"/>
      <c r="H19" s="8"/>
      <c r="I19" s="8"/>
      <c r="J19" s="8"/>
      <c r="K19" s="8"/>
      <c r="L19" s="8"/>
      <c r="M19" s="8"/>
      <c r="N19" s="8"/>
    </row>
    <row r="20" spans="2:14" ht="34.950000000000003" customHeight="1" x14ac:dyDescent="0.25">
      <c r="B20" s="12" t="s">
        <v>134</v>
      </c>
      <c r="D20" s="8"/>
      <c r="E20" s="8"/>
      <c r="F20" s="8"/>
      <c r="G20" s="8"/>
      <c r="H20" s="8"/>
      <c r="I20" s="8"/>
      <c r="J20" s="8"/>
      <c r="K20" s="8"/>
      <c r="L20" s="8"/>
      <c r="M20" s="8"/>
      <c r="N20" s="8"/>
    </row>
    <row r="21" spans="2:14" ht="34.950000000000003" customHeight="1" x14ac:dyDescent="0.25">
      <c r="B21" s="10" t="s">
        <v>135</v>
      </c>
      <c r="D21" s="8"/>
      <c r="E21" s="8"/>
      <c r="F21" s="8"/>
      <c r="G21" s="8"/>
      <c r="H21" s="8"/>
      <c r="I21" s="8"/>
      <c r="J21" s="8"/>
      <c r="K21" s="8"/>
      <c r="L21" s="8"/>
      <c r="M21" s="8"/>
      <c r="N21" s="8"/>
    </row>
    <row r="22" spans="2:14" ht="34.950000000000003" customHeight="1" x14ac:dyDescent="0.25">
      <c r="B22" s="10" t="s">
        <v>136</v>
      </c>
      <c r="D22" s="8"/>
      <c r="E22" s="8"/>
      <c r="F22" s="8"/>
      <c r="G22" s="8"/>
      <c r="H22" s="8"/>
      <c r="I22" s="8"/>
      <c r="J22" s="8"/>
      <c r="K22" s="8"/>
      <c r="L22" s="8"/>
      <c r="M22" s="8"/>
      <c r="N22" s="8"/>
    </row>
    <row r="23" spans="2:14" ht="34.950000000000003" customHeight="1" x14ac:dyDescent="0.25">
      <c r="B23" s="10" t="s">
        <v>137</v>
      </c>
      <c r="D23" s="8"/>
      <c r="E23" s="8"/>
      <c r="F23" s="8"/>
      <c r="G23" s="8"/>
      <c r="H23" s="8"/>
      <c r="I23" s="8"/>
      <c r="J23" s="8"/>
      <c r="K23" s="8"/>
      <c r="L23" s="8"/>
      <c r="M23" s="8"/>
      <c r="N23" s="8"/>
    </row>
    <row r="24" spans="2:14" ht="34.950000000000003" customHeight="1" x14ac:dyDescent="0.25">
      <c r="B24" s="12" t="s">
        <v>138</v>
      </c>
      <c r="D24" s="8"/>
      <c r="E24" s="8"/>
      <c r="F24" s="8"/>
      <c r="G24" s="8"/>
      <c r="H24" s="8"/>
      <c r="I24" s="8"/>
      <c r="J24" s="8"/>
      <c r="K24" s="8"/>
      <c r="L24" s="8"/>
      <c r="M24" s="8"/>
      <c r="N24" s="8"/>
    </row>
    <row r="25" spans="2:14" ht="34.950000000000003" customHeight="1" thickBot="1" x14ac:dyDescent="0.3">
      <c r="B25" s="16" t="s">
        <v>139</v>
      </c>
    </row>
    <row r="26" spans="2:14" ht="17.399999999999999" customHeight="1" x14ac:dyDescent="0.25">
      <c r="B26" s="15" t="s">
        <v>106</v>
      </c>
    </row>
  </sheetData>
  <phoneticPr fontId="0" type="noConversion"/>
  <pageMargins left="0.7" right="0.7" top="0.75" bottom="0.75" header="0.3" footer="0.3"/>
  <pageSetup scale="74"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17"/>
    <pageSetUpPr fitToPage="1"/>
  </sheetPr>
  <dimension ref="A1:X71"/>
  <sheetViews>
    <sheetView showGridLines="0" tabSelected="1" zoomScale="50" zoomScaleNormal="50" zoomScaleSheetLayoutView="55" zoomScalePageLayoutView="25" workbookViewId="0">
      <selection activeCell="C9" sqref="C9"/>
    </sheetView>
  </sheetViews>
  <sheetFormatPr defaultColWidth="9.109375" defaultRowHeight="13.2" outlineLevelRow="7" x14ac:dyDescent="0.25"/>
  <cols>
    <col min="1" max="1" width="5.44140625" style="57" customWidth="1"/>
    <col min="2" max="2" width="50.88671875" style="57" customWidth="1"/>
    <col min="3" max="3" width="25" style="57" customWidth="1"/>
    <col min="4" max="4" width="20.33203125" style="57" customWidth="1"/>
    <col min="5" max="5" width="11.6640625" style="57" customWidth="1"/>
    <col min="6" max="6" width="13.109375" style="57" customWidth="1"/>
    <col min="7" max="7" width="19" style="57" customWidth="1"/>
    <col min="8" max="8" width="15.44140625" style="57" customWidth="1"/>
    <col min="9" max="9" width="17.6640625" style="57" customWidth="1"/>
    <col min="10" max="10" width="14.88671875" style="57" customWidth="1"/>
    <col min="11" max="11" width="20" style="57" customWidth="1"/>
    <col min="12" max="12" width="19.44140625" style="57" bestFit="1" customWidth="1"/>
    <col min="13" max="13" width="18.6640625" style="57" customWidth="1"/>
    <col min="14" max="14" width="17.5546875" style="57" customWidth="1"/>
    <col min="15" max="15" width="14.109375" style="57" customWidth="1"/>
    <col min="16" max="16" width="21.88671875" style="57" customWidth="1"/>
    <col min="17" max="17" width="18.6640625" style="58" customWidth="1"/>
    <col min="18" max="18" width="18" style="58" customWidth="1"/>
    <col min="19" max="19" width="28.109375" style="57" customWidth="1"/>
    <col min="20" max="20" width="14.109375" style="57" customWidth="1"/>
    <col min="21" max="21" width="20.109375" style="57" customWidth="1"/>
    <col min="22" max="22" width="21.33203125" style="57" customWidth="1"/>
    <col min="23" max="23" width="14" style="57" customWidth="1"/>
    <col min="24" max="16384" width="9.109375" style="57"/>
  </cols>
  <sheetData>
    <row r="1" spans="2:23" ht="13.8" thickBot="1" x14ac:dyDescent="0.3">
      <c r="S1" s="59"/>
    </row>
    <row r="2" spans="2:23" ht="15.6" x14ac:dyDescent="0.25">
      <c r="B2" s="60" t="s">
        <v>65</v>
      </c>
      <c r="C2" s="61"/>
      <c r="D2" s="61"/>
      <c r="E2" s="61"/>
      <c r="F2" s="61"/>
      <c r="G2" s="61"/>
      <c r="H2" s="61"/>
      <c r="I2" s="61"/>
      <c r="J2" s="61"/>
      <c r="K2" s="61"/>
      <c r="L2" s="61"/>
      <c r="M2" s="61"/>
      <c r="N2" s="61"/>
      <c r="O2" s="61"/>
      <c r="P2" s="62"/>
      <c r="Q2" s="206"/>
      <c r="S2" s="59"/>
      <c r="T2" s="59"/>
    </row>
    <row r="3" spans="2:23" ht="15.6" x14ac:dyDescent="0.25">
      <c r="B3" s="63" t="s">
        <v>41</v>
      </c>
      <c r="C3" s="59"/>
      <c r="D3" s="59"/>
      <c r="E3" s="59"/>
      <c r="F3" s="59"/>
      <c r="G3" s="59"/>
      <c r="H3" s="59"/>
      <c r="I3" s="59"/>
      <c r="J3" s="59"/>
      <c r="K3" s="59"/>
      <c r="L3" s="59"/>
      <c r="M3" s="59"/>
      <c r="N3" s="59"/>
      <c r="O3" s="59"/>
      <c r="P3" s="64"/>
      <c r="Q3" s="222"/>
      <c r="R3" s="59"/>
      <c r="S3" s="59"/>
      <c r="T3" s="59"/>
    </row>
    <row r="4" spans="2:23" ht="14.4" thickBot="1" x14ac:dyDescent="0.3">
      <c r="B4" s="66"/>
      <c r="C4" s="59"/>
      <c r="D4" s="59"/>
      <c r="E4" s="59"/>
      <c r="F4" s="59"/>
      <c r="G4" s="59"/>
      <c r="H4" s="59"/>
      <c r="I4" s="59"/>
      <c r="J4" s="59"/>
      <c r="K4" s="59"/>
      <c r="L4" s="59"/>
      <c r="M4" s="59"/>
      <c r="N4" s="59"/>
      <c r="O4" s="59"/>
      <c r="P4" s="64"/>
      <c r="Q4" s="222"/>
      <c r="R4" s="59"/>
      <c r="S4" s="59"/>
      <c r="T4" s="59"/>
    </row>
    <row r="5" spans="2:23" ht="13.8" x14ac:dyDescent="0.25">
      <c r="B5" s="67" t="s">
        <v>21</v>
      </c>
      <c r="C5" s="243" t="s">
        <v>142</v>
      </c>
      <c r="D5" s="244"/>
      <c r="E5" s="244"/>
      <c r="F5" s="244"/>
      <c r="G5" s="244"/>
      <c r="H5" s="245"/>
      <c r="I5" s="240" t="s">
        <v>99</v>
      </c>
      <c r="J5" s="59"/>
      <c r="K5" s="59"/>
      <c r="L5" s="59"/>
      <c r="M5" s="59"/>
      <c r="N5" s="59"/>
      <c r="O5" s="59"/>
      <c r="P5" s="64"/>
      <c r="Q5" s="222"/>
      <c r="R5" s="59"/>
      <c r="S5" s="59"/>
    </row>
    <row r="6" spans="2:23" ht="13.8" x14ac:dyDescent="0.25">
      <c r="B6" s="67" t="s">
        <v>55</v>
      </c>
      <c r="C6" s="246" t="s">
        <v>150</v>
      </c>
      <c r="D6" s="247"/>
      <c r="E6" s="248"/>
      <c r="F6" s="248"/>
      <c r="G6" s="248"/>
      <c r="H6" s="249"/>
      <c r="I6" s="241"/>
      <c r="J6" s="59"/>
      <c r="K6" s="59"/>
      <c r="L6" s="59"/>
      <c r="M6" s="59"/>
      <c r="N6" s="59"/>
      <c r="O6" s="59"/>
      <c r="P6" s="64"/>
      <c r="Q6" s="222"/>
      <c r="R6" s="59"/>
      <c r="S6" s="221"/>
      <c r="T6" s="68"/>
    </row>
    <row r="7" spans="2:23" ht="13.8" x14ac:dyDescent="0.25">
      <c r="B7" s="67" t="s">
        <v>79</v>
      </c>
      <c r="C7" s="279" t="str">
        <f>VLOOKUP(C6,LOOKUPS!G3:H9,2,FALSE)</f>
        <v>Medium</v>
      </c>
      <c r="D7" s="280"/>
      <c r="E7" s="280"/>
      <c r="F7" s="280"/>
      <c r="G7" s="280"/>
      <c r="H7" s="281"/>
      <c r="I7" s="241"/>
      <c r="J7" s="59"/>
      <c r="K7" s="59"/>
      <c r="L7" s="59"/>
      <c r="M7" s="59"/>
      <c r="N7" s="59"/>
      <c r="O7" s="64"/>
      <c r="P7" s="64"/>
      <c r="Q7" s="65"/>
      <c r="R7" s="59"/>
      <c r="S7" s="221"/>
      <c r="T7" s="68"/>
    </row>
    <row r="8" spans="2:23" ht="14.4" thickBot="1" x14ac:dyDescent="0.3">
      <c r="B8" s="67" t="s">
        <v>155</v>
      </c>
      <c r="C8" s="282">
        <v>0</v>
      </c>
      <c r="D8" s="283"/>
      <c r="E8" s="283"/>
      <c r="F8" s="283"/>
      <c r="G8" s="283"/>
      <c r="H8" s="284"/>
      <c r="I8" s="242"/>
      <c r="J8" s="59"/>
      <c r="K8" s="59"/>
      <c r="L8" s="59"/>
      <c r="M8" s="59"/>
      <c r="N8" s="59"/>
      <c r="O8" s="64"/>
      <c r="P8" s="64"/>
      <c r="Q8" s="65"/>
      <c r="R8" s="59"/>
      <c r="S8" s="221"/>
      <c r="T8" s="68"/>
    </row>
    <row r="9" spans="2:23" ht="13.8" x14ac:dyDescent="0.25">
      <c r="B9" s="66"/>
      <c r="C9" s="59"/>
      <c r="D9" s="59"/>
      <c r="E9" s="59"/>
      <c r="F9" s="59"/>
      <c r="G9" s="59"/>
      <c r="H9" s="59"/>
      <c r="I9" s="59"/>
      <c r="J9" s="59"/>
      <c r="K9" s="59"/>
      <c r="L9" s="59"/>
      <c r="M9" s="59"/>
      <c r="N9" s="59"/>
      <c r="O9" s="59"/>
      <c r="P9" s="64"/>
      <c r="Q9" s="222"/>
      <c r="R9" s="59"/>
      <c r="S9" s="221"/>
      <c r="T9" s="68"/>
    </row>
    <row r="10" spans="2:23" ht="14.4" thickBot="1" x14ac:dyDescent="0.3">
      <c r="B10" s="66" t="s">
        <v>2</v>
      </c>
      <c r="C10" s="59"/>
      <c r="D10" s="59"/>
      <c r="E10" s="59"/>
      <c r="F10" s="59"/>
      <c r="G10" s="59"/>
      <c r="H10" s="59"/>
      <c r="I10" s="69"/>
      <c r="J10" s="59"/>
      <c r="K10" s="59"/>
      <c r="L10" s="59"/>
      <c r="M10" s="59"/>
      <c r="N10" s="59"/>
      <c r="O10" s="59"/>
      <c r="P10" s="64"/>
      <c r="Q10" s="222"/>
      <c r="R10" s="59"/>
      <c r="S10" s="59"/>
      <c r="T10" s="59"/>
    </row>
    <row r="11" spans="2:23" ht="13.8" x14ac:dyDescent="0.25">
      <c r="B11" s="70" t="s">
        <v>3</v>
      </c>
      <c r="C11" s="71">
        <v>39.340000000000003</v>
      </c>
      <c r="D11" s="207"/>
      <c r="E11" s="59"/>
      <c r="F11" s="59"/>
      <c r="G11" s="59"/>
      <c r="H11" s="59"/>
      <c r="I11" s="59"/>
      <c r="J11" s="69"/>
      <c r="K11" s="59"/>
      <c r="L11" s="59"/>
      <c r="M11" s="59"/>
      <c r="N11" s="59"/>
      <c r="O11" s="59"/>
      <c r="P11" s="64"/>
      <c r="Q11" s="222"/>
      <c r="R11" s="59"/>
      <c r="S11" s="59"/>
      <c r="T11" s="59"/>
    </row>
    <row r="12" spans="2:23" ht="14.4" thickBot="1" x14ac:dyDescent="0.3">
      <c r="B12" s="72" t="s">
        <v>4</v>
      </c>
      <c r="C12" s="73">
        <f>IF(C7="Low",0.1,IF(C7="Medium",0.2,IF(C7="High",0.3,"-")))</f>
        <v>0.2</v>
      </c>
      <c r="D12" s="208"/>
      <c r="E12" s="59"/>
      <c r="F12" s="74"/>
      <c r="G12" s="59"/>
      <c r="H12" s="59"/>
      <c r="I12" s="59"/>
      <c r="J12" s="59"/>
      <c r="K12" s="59"/>
      <c r="L12" s="59"/>
      <c r="M12" s="59"/>
      <c r="N12" s="59"/>
      <c r="O12" s="75"/>
      <c r="P12" s="64"/>
      <c r="Q12" s="222"/>
      <c r="R12" s="141"/>
      <c r="S12" s="141"/>
      <c r="T12" s="59"/>
      <c r="U12" s="59"/>
      <c r="V12" s="59"/>
      <c r="W12" s="59"/>
    </row>
    <row r="13" spans="2:23" ht="40.200000000000003" customHeight="1" thickBot="1" x14ac:dyDescent="0.3">
      <c r="B13" s="252" t="s">
        <v>100</v>
      </c>
      <c r="C13" s="253"/>
      <c r="D13" s="253"/>
      <c r="E13" s="253"/>
      <c r="F13" s="253"/>
      <c r="G13" s="253"/>
      <c r="H13" s="253"/>
      <c r="I13" s="254"/>
      <c r="J13" s="59"/>
      <c r="K13" s="59"/>
      <c r="L13" s="78" t="s">
        <v>101</v>
      </c>
      <c r="M13" s="59"/>
      <c r="N13" s="64"/>
      <c r="O13" s="79" t="s">
        <v>102</v>
      </c>
      <c r="P13" s="267" t="s">
        <v>123</v>
      </c>
      <c r="Q13" s="268"/>
      <c r="S13" s="59"/>
      <c r="T13" s="59"/>
      <c r="U13" s="59"/>
      <c r="V13" s="59"/>
    </row>
    <row r="14" spans="2:23" s="87" customFormat="1" ht="13.8" thickBot="1" x14ac:dyDescent="0.3">
      <c r="B14" s="80" t="s">
        <v>27</v>
      </c>
      <c r="C14" s="81" t="s">
        <v>28</v>
      </c>
      <c r="D14" s="81" t="s">
        <v>29</v>
      </c>
      <c r="E14" s="82" t="s">
        <v>30</v>
      </c>
      <c r="F14" s="82" t="s">
        <v>31</v>
      </c>
      <c r="G14" s="83" t="s">
        <v>32</v>
      </c>
      <c r="H14" s="82" t="s">
        <v>95</v>
      </c>
      <c r="I14" s="84" t="s">
        <v>33</v>
      </c>
      <c r="J14" s="84" t="s">
        <v>96</v>
      </c>
      <c r="K14" s="84" t="s">
        <v>97</v>
      </c>
      <c r="L14" s="83" t="s">
        <v>34</v>
      </c>
      <c r="M14" s="84" t="s">
        <v>35</v>
      </c>
      <c r="N14" s="84" t="s">
        <v>36</v>
      </c>
      <c r="O14" s="85" t="s">
        <v>37</v>
      </c>
      <c r="P14" s="84" t="s">
        <v>38</v>
      </c>
      <c r="Q14" s="86" t="s">
        <v>105</v>
      </c>
    </row>
    <row r="15" spans="2:23" s="93" customFormat="1" ht="147.75" customHeight="1" x14ac:dyDescent="0.25">
      <c r="B15" s="88" t="s">
        <v>20</v>
      </c>
      <c r="C15" s="89" t="s">
        <v>17</v>
      </c>
      <c r="D15" s="89" t="s">
        <v>8</v>
      </c>
      <c r="E15" s="89" t="s">
        <v>18</v>
      </c>
      <c r="F15" s="89" t="s">
        <v>19</v>
      </c>
      <c r="G15" s="89" t="s">
        <v>5</v>
      </c>
      <c r="H15" s="89" t="s">
        <v>93</v>
      </c>
      <c r="I15" s="89" t="s">
        <v>7</v>
      </c>
      <c r="J15" s="89" t="s">
        <v>6</v>
      </c>
      <c r="K15" s="89" t="s">
        <v>39</v>
      </c>
      <c r="L15" s="89" t="s">
        <v>22</v>
      </c>
      <c r="M15" s="89" t="s">
        <v>25</v>
      </c>
      <c r="N15" s="89" t="s">
        <v>107</v>
      </c>
      <c r="O15" s="90" t="s">
        <v>42</v>
      </c>
      <c r="P15" s="91" t="s">
        <v>59</v>
      </c>
      <c r="Q15" s="92" t="s">
        <v>60</v>
      </c>
    </row>
    <row r="16" spans="2:23" s="93" customFormat="1" ht="19.95" hidden="1" customHeight="1" outlineLevel="7" x14ac:dyDescent="0.25">
      <c r="B16" s="94"/>
      <c r="C16" s="95" t="str">
        <f>IF(B16="","",IF(B16="Green Roof",VLOOKUP($C$7,LOOKUPS!$J$4:$K$6,2,FALSE),VLOOKUP(B16,LOOKUPS!$B$3:$E$13,4,FALSE)))</f>
        <v/>
      </c>
      <c r="D16" s="96" t="str">
        <f>IF(B16="","",VLOOKUP(B16,LOOKUPS!$B$3:$E$13,3,FALSE))</f>
        <v/>
      </c>
      <c r="E16" s="97"/>
      <c r="F16" s="97"/>
      <c r="G16" s="98" t="str">
        <f t="shared" ref="G16:G25" si="0">IF(OR(F16="",B16=""),"",ROUND((F16)*$C$11/12*0.8*7.4805,-2))</f>
        <v/>
      </c>
      <c r="H16" s="99">
        <v>1</v>
      </c>
      <c r="I16" s="100">
        <f t="shared" ref="I16:I25" si="1">-0.1593*H16^4+0.9086*H16^3-1.9659*H16^2+2.0104*H16+0.1039</f>
        <v>0.89770000000000005</v>
      </c>
      <c r="J16" s="101" t="str">
        <f t="shared" ref="J16:J25" si="2">IF(OR(F16="",B16=""),"",IF(B16="Cistern Reuse",0.75*ROUND((F16)*$C$11/12*0.8*I16*7.4805,-2),IF(F16=0,"0",ROUND((F16)*$C$11/12*0.8*I16*7.4805,-2))))</f>
        <v/>
      </c>
      <c r="K16" s="102" t="str">
        <f t="shared" ref="K16:K25" si="3">IF(OR(F16="",B16=""),"",IF(B16="Cistern Capture &amp; Release",0.75*ROUND(J16*C$12,-3),ROUND(J16*C$12,-3)))</f>
        <v/>
      </c>
      <c r="L16" s="98" t="str">
        <f t="shared" ref="L16:L25" si="4">IF(OR(F16="",B16=""),"",+(F16*1*(H16/12)))</f>
        <v/>
      </c>
      <c r="M16" s="102" t="str">
        <f t="shared" ref="M16:M25" si="5">IF(OR(E16="",B16=""),"",+(C16*E16))</f>
        <v/>
      </c>
      <c r="N16" s="103" t="str">
        <f t="shared" ref="N16:N25" si="6">IF(OR(J16="",M16="",B16=""),"",IF(C16="","",IF(OR(M16=0,F16=0),"0",M16/J16)))</f>
        <v/>
      </c>
      <c r="O16" s="102" t="str">
        <f t="shared" ref="O16:O22" si="7">IF(OR(B16="",K16="",M16=""),"",+MIN(K16,M16))</f>
        <v/>
      </c>
      <c r="P16" s="104" t="str">
        <f t="shared" ref="P16:P25" si="8">IF(OR(B16="Cistern Capture &amp; Release",B16="Cistern Reuse",B16="Dry Well"),IF(OR(E16="",F16="",F16=0),"",IF(E16=0,0,E16/7.4805/(F16)*12)),IF(B16="","","N/A"))</f>
        <v/>
      </c>
      <c r="Q16" s="105" t="str">
        <f>IF(OR(P16="",P16=0),"",IF(P16="N/A","N/A",1/P16*E16))</f>
        <v/>
      </c>
    </row>
    <row r="17" spans="2:24" s="93" customFormat="1" ht="20.100000000000001" hidden="1" customHeight="1" outlineLevel="7" x14ac:dyDescent="0.25">
      <c r="B17" s="94"/>
      <c r="C17" s="95" t="str">
        <f>IF(B17="","",IF(B17="Green Roof",VLOOKUP($C$7,LOOKUPS!$J$4:$K$6,2,FALSE),VLOOKUP(B17,LOOKUPS!$B$3:$E$13,4,FALSE)))</f>
        <v/>
      </c>
      <c r="D17" s="96" t="str">
        <f>IF(B17="","",VLOOKUP(B17,LOOKUPS!$B$3:$E$13,3,FALSE))</f>
        <v/>
      </c>
      <c r="E17" s="97"/>
      <c r="F17" s="97"/>
      <c r="G17" s="98" t="str">
        <f t="shared" si="0"/>
        <v/>
      </c>
      <c r="H17" s="99">
        <v>1</v>
      </c>
      <c r="I17" s="100">
        <f t="shared" si="1"/>
        <v>0.89770000000000005</v>
      </c>
      <c r="J17" s="101" t="str">
        <f t="shared" si="2"/>
        <v/>
      </c>
      <c r="K17" s="102" t="str">
        <f t="shared" si="3"/>
        <v/>
      </c>
      <c r="L17" s="98" t="str">
        <f t="shared" si="4"/>
        <v/>
      </c>
      <c r="M17" s="102" t="str">
        <f t="shared" si="5"/>
        <v/>
      </c>
      <c r="N17" s="103" t="str">
        <f t="shared" si="6"/>
        <v/>
      </c>
      <c r="O17" s="102" t="str">
        <f t="shared" si="7"/>
        <v/>
      </c>
      <c r="P17" s="104" t="str">
        <f t="shared" si="8"/>
        <v/>
      </c>
      <c r="Q17" s="105" t="str">
        <f>IF(OR(P17="",P17=0),"",IF(P17="N/A","N/A",1/P17*E17))</f>
        <v/>
      </c>
    </row>
    <row r="18" spans="2:24" s="93" customFormat="1" ht="20.100000000000001" hidden="1" customHeight="1" outlineLevel="7" x14ac:dyDescent="0.25">
      <c r="B18" s="106"/>
      <c r="C18" s="95" t="str">
        <f>IF(B18="","",IF(B18="Green Roof",VLOOKUP($C$7,LOOKUPS!$J$4:$K$6,2,FALSE),VLOOKUP(B18,LOOKUPS!$B$3:$E$13,4,FALSE)))</f>
        <v/>
      </c>
      <c r="D18" s="96" t="str">
        <f>IF(B18="","",VLOOKUP(B18,LOOKUPS!$B$3:$E$13,3,FALSE))</f>
        <v/>
      </c>
      <c r="E18" s="97"/>
      <c r="F18" s="97"/>
      <c r="G18" s="98" t="str">
        <f t="shared" si="0"/>
        <v/>
      </c>
      <c r="H18" s="99">
        <v>1</v>
      </c>
      <c r="I18" s="100">
        <f t="shared" si="1"/>
        <v>0.89770000000000005</v>
      </c>
      <c r="J18" s="101" t="str">
        <f t="shared" si="2"/>
        <v/>
      </c>
      <c r="K18" s="102" t="str">
        <f t="shared" si="3"/>
        <v/>
      </c>
      <c r="L18" s="98" t="str">
        <f t="shared" si="4"/>
        <v/>
      </c>
      <c r="M18" s="102" t="str">
        <f t="shared" si="5"/>
        <v/>
      </c>
      <c r="N18" s="103" t="str">
        <f t="shared" si="6"/>
        <v/>
      </c>
      <c r="O18" s="102" t="str">
        <f t="shared" si="7"/>
        <v/>
      </c>
      <c r="P18" s="104" t="str">
        <f t="shared" si="8"/>
        <v/>
      </c>
      <c r="Q18" s="105" t="str">
        <f>IF(OR(P18="",P18=0),"",IF(P18="N/A","N/A",1/P18*E18))</f>
        <v/>
      </c>
    </row>
    <row r="19" spans="2:24" s="93" customFormat="1" ht="20.100000000000001" hidden="1" customHeight="1" outlineLevel="7" x14ac:dyDescent="0.25">
      <c r="B19" s="106"/>
      <c r="C19" s="95" t="str">
        <f>IF(B19="","",IF(B19="Green Roof",VLOOKUP($C$7,LOOKUPS!$J$4:$K$6,2,FALSE),VLOOKUP(B19,LOOKUPS!$B$3:$E$13,4,FALSE)))</f>
        <v/>
      </c>
      <c r="D19" s="96" t="str">
        <f>IF(B19="","",VLOOKUP(B19,LOOKUPS!$B$3:$E$13,3,FALSE))</f>
        <v/>
      </c>
      <c r="E19" s="97"/>
      <c r="F19" s="97"/>
      <c r="G19" s="98" t="str">
        <f t="shared" si="0"/>
        <v/>
      </c>
      <c r="H19" s="99">
        <v>1</v>
      </c>
      <c r="I19" s="100">
        <f t="shared" si="1"/>
        <v>0.89770000000000005</v>
      </c>
      <c r="J19" s="101" t="str">
        <f t="shared" si="2"/>
        <v/>
      </c>
      <c r="K19" s="102" t="str">
        <f t="shared" si="3"/>
        <v/>
      </c>
      <c r="L19" s="98" t="str">
        <f t="shared" si="4"/>
        <v/>
      </c>
      <c r="M19" s="102" t="str">
        <f t="shared" si="5"/>
        <v/>
      </c>
      <c r="N19" s="103" t="str">
        <f t="shared" si="6"/>
        <v/>
      </c>
      <c r="O19" s="102" t="str">
        <f t="shared" si="7"/>
        <v/>
      </c>
      <c r="P19" s="104" t="str">
        <f t="shared" si="8"/>
        <v/>
      </c>
      <c r="Q19" s="105" t="str">
        <f t="shared" ref="Q19:Q25" si="9">IF(OR(P19="",P19=0),"",IF(P19="N/A","N/A",1/P19*E19))</f>
        <v/>
      </c>
    </row>
    <row r="20" spans="2:24" s="93" customFormat="1" ht="20.100000000000001" hidden="1" customHeight="1" outlineLevel="6" collapsed="1" x14ac:dyDescent="0.25">
      <c r="B20" s="106"/>
      <c r="C20" s="95" t="str">
        <f>IF(B20="","",IF(B20="Green Roof",VLOOKUP($C$7,LOOKUPS!$J$4:$K$6,2,FALSE),VLOOKUP(B20,LOOKUPS!$B$3:$E$13,4,FALSE)))</f>
        <v/>
      </c>
      <c r="D20" s="96" t="str">
        <f>IF(B20="","",VLOOKUP(B20,LOOKUPS!$B$3:$E$13,3,FALSE))</f>
        <v/>
      </c>
      <c r="E20" s="97"/>
      <c r="F20" s="97"/>
      <c r="G20" s="98" t="str">
        <f t="shared" si="0"/>
        <v/>
      </c>
      <c r="H20" s="99">
        <v>1</v>
      </c>
      <c r="I20" s="100">
        <f t="shared" si="1"/>
        <v>0.89770000000000005</v>
      </c>
      <c r="J20" s="101" t="str">
        <f t="shared" si="2"/>
        <v/>
      </c>
      <c r="K20" s="102" t="str">
        <f t="shared" si="3"/>
        <v/>
      </c>
      <c r="L20" s="98" t="str">
        <f t="shared" si="4"/>
        <v/>
      </c>
      <c r="M20" s="102" t="str">
        <f t="shared" si="5"/>
        <v/>
      </c>
      <c r="N20" s="103" t="str">
        <f t="shared" si="6"/>
        <v/>
      </c>
      <c r="O20" s="102" t="str">
        <f t="shared" si="7"/>
        <v/>
      </c>
      <c r="P20" s="104" t="str">
        <f t="shared" si="8"/>
        <v/>
      </c>
      <c r="Q20" s="105" t="str">
        <f t="shared" si="9"/>
        <v/>
      </c>
    </row>
    <row r="21" spans="2:24" s="93" customFormat="1" ht="20.100000000000001" hidden="1" customHeight="1" outlineLevel="5" collapsed="1" x14ac:dyDescent="0.25">
      <c r="B21" s="106"/>
      <c r="C21" s="95" t="str">
        <f>IF(B21="","",IF(B21="Green Roof",VLOOKUP($C$7,LOOKUPS!$J$4:$K$6,2,FALSE),VLOOKUP(B21,LOOKUPS!$B$3:$E$13,4,FALSE)))</f>
        <v/>
      </c>
      <c r="D21" s="96" t="str">
        <f>IF(B21="","",VLOOKUP(B21,LOOKUPS!$B$3:$E$13,3,FALSE))</f>
        <v/>
      </c>
      <c r="E21" s="97"/>
      <c r="F21" s="97"/>
      <c r="G21" s="98" t="str">
        <f t="shared" si="0"/>
        <v/>
      </c>
      <c r="H21" s="99">
        <v>1</v>
      </c>
      <c r="I21" s="100">
        <f t="shared" si="1"/>
        <v>0.89770000000000005</v>
      </c>
      <c r="J21" s="101" t="str">
        <f t="shared" si="2"/>
        <v/>
      </c>
      <c r="K21" s="102" t="str">
        <f t="shared" si="3"/>
        <v/>
      </c>
      <c r="L21" s="98" t="str">
        <f t="shared" si="4"/>
        <v/>
      </c>
      <c r="M21" s="102" t="str">
        <f t="shared" si="5"/>
        <v/>
      </c>
      <c r="N21" s="103" t="str">
        <f t="shared" si="6"/>
        <v/>
      </c>
      <c r="O21" s="102" t="str">
        <f t="shared" si="7"/>
        <v/>
      </c>
      <c r="P21" s="104" t="str">
        <f t="shared" si="8"/>
        <v/>
      </c>
      <c r="Q21" s="105" t="str">
        <f t="shared" si="9"/>
        <v/>
      </c>
    </row>
    <row r="22" spans="2:24" ht="20.100000000000001" hidden="1" customHeight="1" outlineLevel="4" collapsed="1" x14ac:dyDescent="0.25">
      <c r="B22" s="94" t="s">
        <v>12</v>
      </c>
      <c r="C22" s="95">
        <f>IF(B22="","",IF(B22="Green Roof",VLOOKUP($C$7,LOOKUPS!$J$4:$K$6,2,FALSE),VLOOKUP(B22,LOOKUPS!$B$3:$E$13,4,FALSE)))</f>
        <v>25</v>
      </c>
      <c r="D22" s="96" t="str">
        <f>IF(B22="","",VLOOKUP(B22,LOOKUPS!$B$3:$E$13,3,FALSE))</f>
        <v>SF</v>
      </c>
      <c r="E22" s="97"/>
      <c r="F22" s="97"/>
      <c r="G22" s="98" t="str">
        <f t="shared" si="0"/>
        <v/>
      </c>
      <c r="H22" s="99">
        <v>1</v>
      </c>
      <c r="I22" s="100">
        <f t="shared" si="1"/>
        <v>0.89770000000000005</v>
      </c>
      <c r="J22" s="101" t="str">
        <f t="shared" si="2"/>
        <v/>
      </c>
      <c r="K22" s="102" t="str">
        <f t="shared" si="3"/>
        <v/>
      </c>
      <c r="L22" s="98" t="str">
        <f t="shared" si="4"/>
        <v/>
      </c>
      <c r="M22" s="102" t="str">
        <f t="shared" si="5"/>
        <v/>
      </c>
      <c r="N22" s="103" t="str">
        <f t="shared" si="6"/>
        <v/>
      </c>
      <c r="O22" s="102" t="str">
        <f t="shared" si="7"/>
        <v/>
      </c>
      <c r="P22" s="104" t="str">
        <f t="shared" si="8"/>
        <v>N/A</v>
      </c>
      <c r="Q22" s="105" t="str">
        <f t="shared" si="9"/>
        <v>N/A</v>
      </c>
      <c r="R22" s="57"/>
    </row>
    <row r="23" spans="2:24" ht="20.100000000000001" hidden="1" customHeight="1" outlineLevel="3" collapsed="1" x14ac:dyDescent="0.25">
      <c r="B23" s="94" t="s">
        <v>12</v>
      </c>
      <c r="C23" s="95">
        <f>IF(B23="","",IF(B23="Green Roof",VLOOKUP($C$7,LOOKUPS!$J$4:$K$6,2,FALSE),VLOOKUP(B23,LOOKUPS!$B$3:$E$13,4,FALSE)))</f>
        <v>25</v>
      </c>
      <c r="D23" s="96" t="str">
        <f>IF(B23="","",VLOOKUP(B23,LOOKUPS!$B$3:$E$13,3,FALSE))</f>
        <v>SF</v>
      </c>
      <c r="E23" s="97"/>
      <c r="F23" s="97"/>
      <c r="G23" s="98" t="str">
        <f t="shared" si="0"/>
        <v/>
      </c>
      <c r="H23" s="99">
        <v>1</v>
      </c>
      <c r="I23" s="100">
        <f t="shared" si="1"/>
        <v>0.89770000000000005</v>
      </c>
      <c r="J23" s="101" t="str">
        <f t="shared" si="2"/>
        <v/>
      </c>
      <c r="K23" s="102" t="str">
        <f t="shared" si="3"/>
        <v/>
      </c>
      <c r="L23" s="98" t="str">
        <f t="shared" si="4"/>
        <v/>
      </c>
      <c r="M23" s="102" t="str">
        <f t="shared" si="5"/>
        <v/>
      </c>
      <c r="N23" s="103" t="str">
        <f t="shared" si="6"/>
        <v/>
      </c>
      <c r="O23" s="102">
        <f>IF(B23="","",+MIN(K23,M23))</f>
        <v>0</v>
      </c>
      <c r="P23" s="104" t="str">
        <f t="shared" si="8"/>
        <v>N/A</v>
      </c>
      <c r="Q23" s="105" t="str">
        <f t="shared" si="9"/>
        <v>N/A</v>
      </c>
      <c r="R23" s="57"/>
    </row>
    <row r="24" spans="2:24" s="93" customFormat="1" ht="20.100000000000001" hidden="1" customHeight="1" outlineLevel="2" collapsed="1" x14ac:dyDescent="0.25">
      <c r="B24" s="106" t="s">
        <v>13</v>
      </c>
      <c r="C24" s="95">
        <f>IF(B24="","",IF(B24="Green Roof",VLOOKUP($C$7,LOOKUPS!$J$4:$K$6,2,FALSE),VLOOKUP(B24,LOOKUPS!$B$3:$E$13,4,FALSE)))</f>
        <v>400</v>
      </c>
      <c r="D24" s="96" t="str">
        <f>IF(B24="","",VLOOKUP(B24,LOOKUPS!$B$3:$E$13,3,FALSE))</f>
        <v>Ea</v>
      </c>
      <c r="E24" s="97"/>
      <c r="F24" s="97"/>
      <c r="G24" s="98" t="str">
        <f t="shared" si="0"/>
        <v/>
      </c>
      <c r="H24" s="99">
        <v>1</v>
      </c>
      <c r="I24" s="100">
        <f t="shared" si="1"/>
        <v>0.89770000000000005</v>
      </c>
      <c r="J24" s="101" t="str">
        <f t="shared" si="2"/>
        <v/>
      </c>
      <c r="K24" s="102" t="str">
        <f t="shared" si="3"/>
        <v/>
      </c>
      <c r="L24" s="98" t="str">
        <f t="shared" si="4"/>
        <v/>
      </c>
      <c r="M24" s="102" t="str">
        <f t="shared" si="5"/>
        <v/>
      </c>
      <c r="N24" s="103" t="str">
        <f t="shared" si="6"/>
        <v/>
      </c>
      <c r="O24" s="102">
        <f>IF(B24="","",+MIN(K24,M24))</f>
        <v>0</v>
      </c>
      <c r="P24" s="104" t="str">
        <f t="shared" si="8"/>
        <v>N/A</v>
      </c>
      <c r="Q24" s="105" t="str">
        <f t="shared" si="9"/>
        <v>N/A</v>
      </c>
    </row>
    <row r="25" spans="2:24" s="93" customFormat="1" ht="20.100000000000001" customHeight="1" outlineLevel="1" collapsed="1" thickBot="1" x14ac:dyDescent="0.3">
      <c r="B25" s="107" t="s">
        <v>0</v>
      </c>
      <c r="C25" s="108">
        <f>IF(B25="","",IF(B25="Green Roof",VLOOKUP($C$7,LOOKUPS!$J$4:$K$6,2,FALSE),VLOOKUP(B25,LOOKUPS!$B$3:$E$13,4,FALSE)))</f>
        <v>12</v>
      </c>
      <c r="D25" s="109" t="str">
        <f>IF(B25="","",VLOOKUP(B25,LOOKUPS!$B$3:$E$13,3,FALSE))</f>
        <v>SF</v>
      </c>
      <c r="E25" s="110"/>
      <c r="F25" s="110"/>
      <c r="G25" s="111" t="str">
        <f t="shared" si="0"/>
        <v/>
      </c>
      <c r="H25" s="112">
        <v>1</v>
      </c>
      <c r="I25" s="113">
        <f t="shared" si="1"/>
        <v>0.89770000000000005</v>
      </c>
      <c r="J25" s="114" t="str">
        <f t="shared" si="2"/>
        <v/>
      </c>
      <c r="K25" s="115" t="str">
        <f t="shared" si="3"/>
        <v/>
      </c>
      <c r="L25" s="111" t="str">
        <f t="shared" si="4"/>
        <v/>
      </c>
      <c r="M25" s="115" t="str">
        <f t="shared" si="5"/>
        <v/>
      </c>
      <c r="N25" s="116" t="str">
        <f t="shared" si="6"/>
        <v/>
      </c>
      <c r="O25" s="115">
        <f>IF(B25="","",+MIN(K25,M25))</f>
        <v>0</v>
      </c>
      <c r="P25" s="117" t="str">
        <f t="shared" si="8"/>
        <v>N/A</v>
      </c>
      <c r="Q25" s="118" t="str">
        <f t="shared" si="9"/>
        <v>N/A</v>
      </c>
    </row>
    <row r="26" spans="2:24" ht="19.5" customHeight="1" thickBot="1" x14ac:dyDescent="0.3">
      <c r="B26" s="119"/>
      <c r="C26" s="209"/>
      <c r="D26" s="209"/>
      <c r="E26" s="120" t="s">
        <v>94</v>
      </c>
      <c r="F26" s="121">
        <f>SUM(F16:F25)</f>
        <v>0</v>
      </c>
      <c r="G26" s="229"/>
      <c r="H26" s="122"/>
      <c r="I26" s="122"/>
      <c r="J26" s="121">
        <f>SUM(J16:J25)</f>
        <v>0</v>
      </c>
      <c r="K26" s="123">
        <f t="shared" ref="K26:M26" si="10">SUM(K16:K25)</f>
        <v>0</v>
      </c>
      <c r="L26" s="121">
        <f t="shared" si="10"/>
        <v>0</v>
      </c>
      <c r="M26" s="123">
        <f t="shared" si="10"/>
        <v>0</v>
      </c>
      <c r="N26" s="230"/>
      <c r="O26" s="124">
        <f>SUM(O16:O25)</f>
        <v>0</v>
      </c>
      <c r="P26" s="125"/>
      <c r="Q26" s="65"/>
      <c r="R26" s="57"/>
    </row>
    <row r="27" spans="2:24" ht="14.4" thickBot="1" x14ac:dyDescent="0.3">
      <c r="B27" s="250" t="s">
        <v>103</v>
      </c>
      <c r="C27" s="251"/>
      <c r="D27" s="126"/>
      <c r="E27" s="126"/>
      <c r="F27" s="59"/>
      <c r="G27" s="127"/>
      <c r="H27" s="127"/>
      <c r="I27" s="127"/>
      <c r="J27" s="127"/>
      <c r="K27" s="205"/>
      <c r="L27" s="128"/>
      <c r="M27" s="127"/>
      <c r="N27" s="127"/>
      <c r="O27" s="59" t="s">
        <v>64</v>
      </c>
      <c r="P27" s="59"/>
      <c r="Q27" s="65"/>
      <c r="R27" s="57"/>
    </row>
    <row r="28" spans="2:24" ht="15.6" customHeight="1" thickBot="1" x14ac:dyDescent="0.3">
      <c r="B28" s="129" t="s">
        <v>66</v>
      </c>
      <c r="C28" s="130"/>
      <c r="D28" s="126"/>
      <c r="E28" s="131"/>
      <c r="F28" s="131"/>
      <c r="G28" s="132"/>
      <c r="H28" s="132"/>
      <c r="I28" s="132"/>
      <c r="J28" s="132"/>
      <c r="K28" s="128"/>
      <c r="L28" s="127"/>
      <c r="M28" s="59"/>
      <c r="N28" s="133" t="s">
        <v>108</v>
      </c>
      <c r="O28" s="134">
        <f>+C35</f>
        <v>0</v>
      </c>
      <c r="P28" s="135"/>
      <c r="Q28" s="202"/>
      <c r="R28" s="57"/>
      <c r="T28" s="58"/>
      <c r="U28" s="58"/>
    </row>
    <row r="29" spans="2:24" s="93" customFormat="1" ht="12" customHeight="1" x14ac:dyDescent="0.25">
      <c r="B29" s="136"/>
      <c r="C29" s="137">
        <v>0</v>
      </c>
      <c r="D29" s="126"/>
      <c r="E29" s="138"/>
      <c r="F29" s="139"/>
      <c r="G29" s="140"/>
      <c r="H29" s="141"/>
      <c r="I29" s="140"/>
      <c r="J29" s="142"/>
      <c r="K29" s="143"/>
      <c r="L29" s="143"/>
      <c r="M29" s="143"/>
      <c r="N29" s="144"/>
      <c r="O29" s="59"/>
      <c r="P29" s="141"/>
      <c r="Q29" s="76"/>
      <c r="X29" s="57"/>
    </row>
    <row r="30" spans="2:24" s="93" customFormat="1" ht="12" customHeight="1" thickBot="1" x14ac:dyDescent="0.3">
      <c r="B30" s="203"/>
      <c r="C30" s="137">
        <v>0</v>
      </c>
      <c r="D30" s="126"/>
      <c r="E30" s="204"/>
      <c r="F30" s="146"/>
      <c r="G30" s="147"/>
      <c r="H30" s="141"/>
      <c r="I30" s="140"/>
      <c r="J30" s="142"/>
      <c r="K30" s="143"/>
      <c r="L30" s="143"/>
      <c r="M30" s="143"/>
      <c r="N30" s="141"/>
      <c r="O30" s="141"/>
      <c r="P30" s="148"/>
      <c r="Q30" s="65"/>
    </row>
    <row r="31" spans="2:24" s="93" customFormat="1" ht="12" customHeight="1" thickBot="1" x14ac:dyDescent="0.3">
      <c r="B31" s="145"/>
      <c r="C31" s="137">
        <v>0</v>
      </c>
      <c r="D31" s="126"/>
      <c r="E31" s="204"/>
      <c r="F31" s="146"/>
      <c r="G31" s="147"/>
      <c r="H31" s="141"/>
      <c r="I31" s="140"/>
      <c r="J31" s="142"/>
      <c r="K31" s="143"/>
      <c r="L31" s="143"/>
      <c r="M31" s="143"/>
      <c r="N31" s="133" t="s">
        <v>50</v>
      </c>
      <c r="O31" s="134" t="str">
        <f>IF(J26=0,"",+N36/J26)</f>
        <v/>
      </c>
      <c r="P31" s="141"/>
      <c r="Q31" s="149"/>
      <c r="R31" s="57"/>
    </row>
    <row r="32" spans="2:24" s="93" customFormat="1" ht="12" customHeight="1" thickBot="1" x14ac:dyDescent="0.3">
      <c r="B32" s="145"/>
      <c r="C32" s="137">
        <v>0</v>
      </c>
      <c r="D32" s="126"/>
      <c r="E32" s="204"/>
      <c r="F32" s="146"/>
      <c r="G32" s="147"/>
      <c r="H32" s="141"/>
      <c r="I32" s="140"/>
      <c r="J32" s="141"/>
      <c r="K32" s="143"/>
      <c r="L32" s="143"/>
      <c r="M32" s="143"/>
      <c r="N32" s="141"/>
      <c r="O32" s="76"/>
      <c r="P32" s="141"/>
      <c r="Q32" s="149"/>
      <c r="R32" s="57"/>
    </row>
    <row r="33" spans="1:20" s="93" customFormat="1" ht="14.4" thickBot="1" x14ac:dyDescent="0.3">
      <c r="B33" s="145"/>
      <c r="C33" s="137">
        <v>0</v>
      </c>
      <c r="D33" s="126"/>
      <c r="E33" s="141"/>
      <c r="F33" s="140"/>
      <c r="G33" s="140"/>
      <c r="H33" s="140"/>
      <c r="I33" s="141"/>
      <c r="J33" s="141"/>
      <c r="L33" s="257" t="s">
        <v>122</v>
      </c>
      <c r="M33" s="258"/>
      <c r="N33" s="258"/>
      <c r="O33" s="259"/>
      <c r="Q33" s="65"/>
    </row>
    <row r="34" spans="1:20" s="93" customFormat="1" ht="18" customHeight="1" thickBot="1" x14ac:dyDescent="0.3">
      <c r="B34" s="150"/>
      <c r="C34" s="137">
        <v>0</v>
      </c>
      <c r="D34" s="126"/>
      <c r="E34" s="126"/>
      <c r="F34" s="140"/>
      <c r="G34" s="151"/>
      <c r="H34" s="140"/>
      <c r="I34" s="141"/>
      <c r="J34" s="141"/>
      <c r="L34" s="260" t="s">
        <v>54</v>
      </c>
      <c r="M34" s="261"/>
      <c r="N34" s="261"/>
      <c r="O34" s="262"/>
      <c r="Q34" s="76"/>
    </row>
    <row r="35" spans="1:20" s="93" customFormat="1" ht="68.400000000000006" customHeight="1" thickBot="1" x14ac:dyDescent="0.3">
      <c r="B35" s="152" t="s">
        <v>45</v>
      </c>
      <c r="C35" s="153">
        <f>SUM(C29:C34)</f>
        <v>0</v>
      </c>
      <c r="D35" s="141"/>
      <c r="E35" s="154"/>
      <c r="F35" s="140"/>
      <c r="G35" s="140"/>
      <c r="H35" s="140"/>
      <c r="I35" s="141"/>
      <c r="J35" s="141"/>
      <c r="L35" s="228" t="s">
        <v>67</v>
      </c>
      <c r="M35" s="155" t="s">
        <v>68</v>
      </c>
      <c r="N35" s="255" t="s">
        <v>69</v>
      </c>
      <c r="O35" s="256"/>
      <c r="Q35" s="76"/>
    </row>
    <row r="36" spans="1:20" s="93" customFormat="1" ht="25.2" customHeight="1" thickBot="1" x14ac:dyDescent="0.3">
      <c r="B36" s="156"/>
      <c r="C36" s="272" t="s">
        <v>90</v>
      </c>
      <c r="D36" s="270" t="s">
        <v>52</v>
      </c>
      <c r="E36" s="273" t="s">
        <v>91</v>
      </c>
      <c r="F36" s="275" t="s">
        <v>140</v>
      </c>
      <c r="G36" s="269"/>
      <c r="H36" s="269"/>
      <c r="I36" s="142"/>
      <c r="J36" s="140"/>
      <c r="K36" s="157" t="s">
        <v>49</v>
      </c>
      <c r="L36" s="158"/>
      <c r="M36" s="159">
        <f>ROUND(+O26+O28,-2)</f>
        <v>0</v>
      </c>
      <c r="N36" s="224">
        <f>SMALL(L36:M36,1)</f>
        <v>0</v>
      </c>
      <c r="O36" s="225"/>
      <c r="Q36" s="76"/>
      <c r="R36" s="135"/>
      <c r="S36" s="59"/>
    </row>
    <row r="37" spans="1:20" s="93" customFormat="1" ht="29.4" customHeight="1" thickBot="1" x14ac:dyDescent="0.3">
      <c r="B37" s="66" t="s">
        <v>53</v>
      </c>
      <c r="C37" s="271"/>
      <c r="D37" s="271"/>
      <c r="E37" s="274"/>
      <c r="F37" s="276"/>
      <c r="G37" s="269"/>
      <c r="H37" s="269"/>
      <c r="I37" s="141"/>
      <c r="J37" s="161"/>
      <c r="K37" s="157" t="s">
        <v>48</v>
      </c>
      <c r="L37" s="158"/>
      <c r="M37" s="159">
        <f>+ROUND(F43,-2)</f>
        <v>0</v>
      </c>
      <c r="N37" s="224">
        <f>SMALL(L37:M37,1)</f>
        <v>0</v>
      </c>
      <c r="O37" s="225"/>
      <c r="Q37" s="76"/>
      <c r="R37" s="219"/>
      <c r="S37" s="59"/>
    </row>
    <row r="38" spans="1:20" s="93" customFormat="1" ht="27.6" customHeight="1" thickBot="1" x14ac:dyDescent="0.3">
      <c r="B38" s="162" t="s">
        <v>146</v>
      </c>
      <c r="C38" s="163" t="s">
        <v>43</v>
      </c>
      <c r="D38" s="165">
        <f>+$O$26+$O$28</f>
        <v>0</v>
      </c>
      <c r="E38" s="164">
        <f>IF($D$38&lt;=24999, ($H$38*0.2),("-"))</f>
        <v>0</v>
      </c>
      <c r="F38" s="213">
        <f>IF(E38="-",("-"),IF(E38&lt;3750,E38,(3750)))</f>
        <v>0</v>
      </c>
      <c r="G38" s="210"/>
      <c r="H38" s="210"/>
      <c r="I38" s="141"/>
      <c r="J38" s="211"/>
      <c r="K38" s="157" t="s">
        <v>56</v>
      </c>
      <c r="L38" s="158"/>
      <c r="M38" s="159">
        <f>E47</f>
        <v>0</v>
      </c>
      <c r="N38" s="224">
        <f>SMALL(L38:M38,1)</f>
        <v>0</v>
      </c>
      <c r="O38" s="225"/>
      <c r="Q38" s="76"/>
      <c r="R38" s="135"/>
      <c r="S38" s="59"/>
    </row>
    <row r="39" spans="1:20" s="93" customFormat="1" ht="27.6" customHeight="1" thickBot="1" x14ac:dyDescent="0.3">
      <c r="B39" s="166" t="s">
        <v>145</v>
      </c>
      <c r="C39" s="167" t="s">
        <v>46</v>
      </c>
      <c r="D39" s="168">
        <f>+$O$26+$O$28</f>
        <v>0</v>
      </c>
      <c r="E39" s="231" t="str">
        <f>IF(AND(E38="-",49999&gt;=$D$39),$D$39*0.15,"-")</f>
        <v>-</v>
      </c>
      <c r="F39" s="232" t="str">
        <f>IF(E39="-",("-"),IF(E39&lt;6000,E39,(6000)))</f>
        <v>-</v>
      </c>
      <c r="G39" s="210"/>
      <c r="H39" s="210"/>
      <c r="I39" s="141"/>
      <c r="J39" s="212"/>
      <c r="K39" s="157" t="s">
        <v>157</v>
      </c>
      <c r="L39" s="285" t="s">
        <v>158</v>
      </c>
      <c r="M39" s="159">
        <f>IF(C8=0,0,IF(C8=1,-250,IF(C8&gt;1,-1000,0)))</f>
        <v>0</v>
      </c>
      <c r="N39" s="224">
        <f>SMALL(L39:M39,1)</f>
        <v>0</v>
      </c>
      <c r="O39" s="225"/>
      <c r="Q39" s="76"/>
      <c r="R39" s="135"/>
      <c r="S39" s="59"/>
    </row>
    <row r="40" spans="1:20" s="93" customFormat="1" ht="27.6" customHeight="1" thickBot="1" x14ac:dyDescent="0.3">
      <c r="B40" s="171" t="s">
        <v>144</v>
      </c>
      <c r="C40" s="172" t="s">
        <v>47</v>
      </c>
      <c r="D40" s="173">
        <f>+$O$26+$O$28</f>
        <v>0</v>
      </c>
      <c r="E40" s="233" t="str">
        <f>IF(AND(E38="-",E39="-",200000&gt;=$D$40),$D$40*0.12,"-")</f>
        <v>-</v>
      </c>
      <c r="F40" s="232" t="str">
        <f>IF(E40="-",("-"),IF(E40&lt;20000,E40,(20000)))</f>
        <v>-</v>
      </c>
      <c r="G40" s="210"/>
      <c r="H40" s="210"/>
      <c r="I40" s="141"/>
      <c r="J40" s="212"/>
      <c r="K40" s="141"/>
      <c r="L40" s="169"/>
      <c r="M40" s="170" t="s">
        <v>78</v>
      </c>
      <c r="N40" s="226">
        <f>SUM(N36:O39)</f>
        <v>0</v>
      </c>
      <c r="O40" s="227"/>
      <c r="P40" s="141"/>
      <c r="Q40" s="76"/>
      <c r="R40" s="141"/>
      <c r="S40" s="174"/>
      <c r="T40" s="57"/>
    </row>
    <row r="41" spans="1:20" s="93" customFormat="1" ht="27.6" customHeight="1" x14ac:dyDescent="0.25">
      <c r="B41" s="175" t="s">
        <v>143</v>
      </c>
      <c r="C41" s="167" t="s">
        <v>63</v>
      </c>
      <c r="D41" s="168">
        <f>+$O$26+$O$28</f>
        <v>0</v>
      </c>
      <c r="E41" s="234" t="str">
        <f>IF(AND(E38="-",E39="-",E40="-",480000&gt;=$D$41),$D$41*0.1,"-")</f>
        <v>-</v>
      </c>
      <c r="F41" s="232" t="str">
        <f>IF(E41="-",("-"),IF(E41&lt;24000,E41,(24000)))</f>
        <v>-</v>
      </c>
      <c r="G41" s="210"/>
      <c r="H41" s="210"/>
      <c r="I41" s="141"/>
      <c r="J41" s="212"/>
      <c r="K41" s="141"/>
      <c r="L41" s="141"/>
      <c r="M41" s="141"/>
      <c r="N41" s="141"/>
      <c r="O41" s="141"/>
      <c r="P41" s="141"/>
      <c r="Q41" s="76"/>
      <c r="R41" s="220"/>
      <c r="S41" s="174"/>
      <c r="T41" s="57"/>
    </row>
    <row r="42" spans="1:20" s="93" customFormat="1" ht="27.6" customHeight="1" thickBot="1" x14ac:dyDescent="0.3">
      <c r="B42" s="176" t="s">
        <v>147</v>
      </c>
      <c r="C42" s="177" t="s">
        <v>89</v>
      </c>
      <c r="D42" s="178">
        <f>+$O$26+$O$28</f>
        <v>0</v>
      </c>
      <c r="E42" s="235" t="str">
        <f>IF(AND(E38="-",E39="-",E40="-",E41="-"),$D$42*0.05,"-")</f>
        <v>-</v>
      </c>
      <c r="F42" s="232" t="str">
        <f>IF(E42="-",("-"),IF(E42&lt;100000,E42,(100000)))</f>
        <v>-</v>
      </c>
      <c r="G42" s="210"/>
      <c r="H42" s="210"/>
      <c r="I42" s="141"/>
      <c r="J42" s="212"/>
      <c r="K42" s="141"/>
      <c r="L42" s="141"/>
      <c r="M42" s="141"/>
      <c r="N42" s="141"/>
      <c r="O42" s="141"/>
      <c r="P42" s="141"/>
      <c r="Q42" s="76"/>
      <c r="R42" s="174"/>
      <c r="S42" s="59"/>
    </row>
    <row r="43" spans="1:20" s="93" customFormat="1" ht="30.6" customHeight="1" thickBot="1" x14ac:dyDescent="0.3">
      <c r="B43" s="179"/>
      <c r="C43" s="180"/>
      <c r="D43" s="141"/>
      <c r="E43" s="181" t="s">
        <v>92</v>
      </c>
      <c r="F43" s="182">
        <f>SUM(F38:F42)</f>
        <v>0</v>
      </c>
      <c r="G43" s="180"/>
      <c r="H43" s="141"/>
      <c r="I43" s="141"/>
      <c r="J43" s="141"/>
      <c r="K43" s="141"/>
      <c r="L43" s="184" t="s">
        <v>109</v>
      </c>
      <c r="M43" s="141"/>
      <c r="N43" s="141"/>
      <c r="O43" s="141"/>
      <c r="P43" s="141"/>
      <c r="Q43" s="76"/>
      <c r="R43" s="141"/>
      <c r="S43" s="141"/>
    </row>
    <row r="44" spans="1:20" s="93" customFormat="1" ht="28.2" customHeight="1" x14ac:dyDescent="0.25">
      <c r="B44" s="77"/>
      <c r="C44" s="141"/>
      <c r="D44" s="141"/>
      <c r="E44" s="141"/>
      <c r="F44" s="141"/>
      <c r="G44" s="141"/>
      <c r="H44" s="141"/>
      <c r="I44" s="183"/>
      <c r="J44" s="141"/>
      <c r="K44" s="141"/>
      <c r="L44" s="238" t="s">
        <v>156</v>
      </c>
      <c r="M44" s="238"/>
      <c r="N44" s="238"/>
      <c r="O44" s="238"/>
      <c r="P44" s="238"/>
      <c r="Q44" s="239"/>
      <c r="R44" s="184"/>
      <c r="S44" s="141"/>
    </row>
    <row r="45" spans="1:20" s="93" customFormat="1" ht="26.4" customHeight="1" thickBot="1" x14ac:dyDescent="0.3">
      <c r="B45" s="66" t="s">
        <v>57</v>
      </c>
      <c r="C45" s="141"/>
      <c r="D45" s="141"/>
      <c r="E45" s="141"/>
      <c r="F45" s="141"/>
      <c r="G45" s="141"/>
      <c r="H45" s="141"/>
      <c r="I45" s="183"/>
      <c r="J45" s="141"/>
      <c r="K45" s="141"/>
      <c r="L45" s="265" t="s">
        <v>110</v>
      </c>
      <c r="M45" s="265"/>
      <c r="N45" s="265"/>
      <c r="O45" s="265"/>
      <c r="P45" s="265"/>
      <c r="Q45" s="266"/>
      <c r="R45" s="218"/>
      <c r="S45" s="141"/>
    </row>
    <row r="46" spans="1:20" s="93" customFormat="1" ht="30.6" customHeight="1" thickBot="1" x14ac:dyDescent="0.3">
      <c r="B46" s="214" t="s">
        <v>77</v>
      </c>
      <c r="C46" s="263" t="s">
        <v>51</v>
      </c>
      <c r="D46" s="264"/>
      <c r="E46" s="215" t="s">
        <v>44</v>
      </c>
      <c r="F46" s="141"/>
      <c r="G46" s="141"/>
      <c r="H46" s="132"/>
      <c r="I46" s="185"/>
      <c r="J46" s="141"/>
      <c r="K46" s="204"/>
      <c r="L46" s="238" t="s">
        <v>111</v>
      </c>
      <c r="M46" s="238"/>
      <c r="N46" s="238"/>
      <c r="O46" s="238"/>
      <c r="P46" s="238"/>
      <c r="Q46" s="239"/>
      <c r="R46" s="184"/>
      <c r="S46" s="141"/>
    </row>
    <row r="47" spans="1:20" s="93" customFormat="1" ht="32.4" customHeight="1" thickBot="1" x14ac:dyDescent="0.3">
      <c r="A47" s="132"/>
      <c r="B47" s="217">
        <f>L38</f>
        <v>0</v>
      </c>
      <c r="C47" s="216">
        <v>2000</v>
      </c>
      <c r="D47" s="216"/>
      <c r="E47" s="186">
        <f>SMALL(B47:C47,1)</f>
        <v>0</v>
      </c>
      <c r="F47" s="141"/>
      <c r="G47" s="141"/>
      <c r="H47" s="132"/>
      <c r="I47" s="187"/>
      <c r="J47" s="141"/>
      <c r="K47" s="141"/>
      <c r="L47" s="238" t="s">
        <v>112</v>
      </c>
      <c r="M47" s="238"/>
      <c r="N47" s="238"/>
      <c r="O47" s="238"/>
      <c r="P47" s="238"/>
      <c r="Q47" s="239"/>
      <c r="R47" s="184"/>
      <c r="S47" s="141"/>
    </row>
    <row r="48" spans="1:20" s="93" customFormat="1" ht="12" customHeight="1" x14ac:dyDescent="0.25">
      <c r="B48" s="77"/>
      <c r="C48" s="141"/>
      <c r="D48" s="141"/>
      <c r="E48" s="141"/>
      <c r="F48" s="185"/>
      <c r="G48" s="188"/>
      <c r="H48" s="141"/>
      <c r="I48" s="141"/>
      <c r="J48" s="141"/>
      <c r="K48" s="160"/>
      <c r="L48" s="141"/>
      <c r="M48" s="187"/>
      <c r="N48" s="187"/>
      <c r="O48" s="187"/>
      <c r="P48" s="187"/>
      <c r="Q48" s="76"/>
      <c r="R48" s="59"/>
      <c r="S48" s="141"/>
    </row>
    <row r="49" spans="2:21" ht="13.8" thickBot="1" x14ac:dyDescent="0.3">
      <c r="B49" s="189"/>
      <c r="C49" s="190"/>
      <c r="D49" s="190"/>
      <c r="E49" s="190"/>
      <c r="F49" s="190"/>
      <c r="G49" s="190"/>
      <c r="H49" s="190"/>
      <c r="I49" s="190"/>
      <c r="J49" s="190"/>
      <c r="K49" s="190"/>
      <c r="L49" s="190"/>
      <c r="M49" s="190"/>
      <c r="N49" s="190"/>
      <c r="O49" s="190"/>
      <c r="P49" s="191"/>
      <c r="Q49" s="223"/>
      <c r="R49" s="59"/>
      <c r="S49" s="148"/>
      <c r="T49" s="59"/>
    </row>
    <row r="50" spans="2:21" x14ac:dyDescent="0.25">
      <c r="H50" s="59"/>
      <c r="I50" s="59"/>
      <c r="J50" s="59"/>
      <c r="K50" s="59"/>
      <c r="R50" s="64"/>
      <c r="S50" s="59"/>
      <c r="T50" s="133"/>
      <c r="U50" s="192"/>
    </row>
    <row r="51" spans="2:21" x14ac:dyDescent="0.25">
      <c r="S51" s="59"/>
      <c r="T51" s="144"/>
      <c r="U51" s="59"/>
    </row>
    <row r="52" spans="2:21" x14ac:dyDescent="0.25">
      <c r="S52" s="59"/>
      <c r="T52" s="144"/>
      <c r="U52" s="59"/>
    </row>
    <row r="53" spans="2:21" x14ac:dyDescent="0.25">
      <c r="S53" s="59"/>
      <c r="T53" s="133"/>
      <c r="U53" s="193"/>
    </row>
    <row r="54" spans="2:21" x14ac:dyDescent="0.25">
      <c r="S54" s="59"/>
      <c r="T54" s="133"/>
      <c r="U54" s="75"/>
    </row>
    <row r="55" spans="2:21" x14ac:dyDescent="0.25">
      <c r="S55" s="59"/>
      <c r="T55" s="133"/>
      <c r="U55" s="75"/>
    </row>
    <row r="56" spans="2:21" x14ac:dyDescent="0.25">
      <c r="S56" s="59"/>
      <c r="T56" s="133"/>
      <c r="U56" s="194"/>
    </row>
    <row r="57" spans="2:21" x14ac:dyDescent="0.25">
      <c r="S57" s="59"/>
      <c r="T57" s="133"/>
      <c r="U57" s="194"/>
    </row>
    <row r="58" spans="2:21" x14ac:dyDescent="0.25">
      <c r="S58" s="59"/>
      <c r="T58" s="133"/>
      <c r="U58" s="194"/>
    </row>
    <row r="59" spans="2:21" x14ac:dyDescent="0.25">
      <c r="S59" s="59"/>
      <c r="T59" s="195"/>
      <c r="U59" s="196"/>
    </row>
    <row r="60" spans="2:21" x14ac:dyDescent="0.25">
      <c r="S60" s="59"/>
      <c r="T60" s="133"/>
      <c r="U60" s="75"/>
    </row>
    <row r="61" spans="2:21" x14ac:dyDescent="0.25">
      <c r="S61" s="59"/>
      <c r="T61" s="133"/>
      <c r="U61" s="75"/>
    </row>
    <row r="62" spans="2:21" x14ac:dyDescent="0.25">
      <c r="S62" s="59"/>
      <c r="T62" s="133"/>
      <c r="U62" s="197"/>
    </row>
    <row r="63" spans="2:21" x14ac:dyDescent="0.25">
      <c r="S63" s="59"/>
      <c r="T63" s="144"/>
      <c r="U63" s="59"/>
    </row>
    <row r="64" spans="2:21" x14ac:dyDescent="0.25">
      <c r="S64" s="59"/>
      <c r="T64" s="133"/>
      <c r="U64" s="75"/>
    </row>
    <row r="65" spans="19:21" x14ac:dyDescent="0.25">
      <c r="S65" s="59"/>
      <c r="T65" s="133"/>
      <c r="U65" s="193"/>
    </row>
    <row r="66" spans="19:21" ht="15" x14ac:dyDescent="0.25">
      <c r="S66" s="59"/>
      <c r="T66" s="198"/>
      <c r="U66" s="141"/>
    </row>
    <row r="67" spans="19:21" ht="15" x14ac:dyDescent="0.25">
      <c r="S67" s="59"/>
      <c r="T67" s="199"/>
      <c r="U67" s="59"/>
    </row>
    <row r="68" spans="19:21" x14ac:dyDescent="0.25">
      <c r="S68" s="59"/>
      <c r="T68" s="133"/>
      <c r="U68" s="200"/>
    </row>
    <row r="69" spans="19:21" x14ac:dyDescent="0.25">
      <c r="S69" s="59"/>
      <c r="T69" s="144"/>
      <c r="U69" s="59"/>
    </row>
    <row r="70" spans="19:21" ht="18" x14ac:dyDescent="0.25">
      <c r="S70" s="59"/>
      <c r="T70" s="59"/>
      <c r="U70" s="201"/>
    </row>
    <row r="71" spans="19:21" x14ac:dyDescent="0.25">
      <c r="S71" s="59"/>
    </row>
  </sheetData>
  <dataConsolidate/>
  <mergeCells count="22">
    <mergeCell ref="C8:H8"/>
    <mergeCell ref="I5:I8"/>
    <mergeCell ref="H36:H37"/>
    <mergeCell ref="D36:D37"/>
    <mergeCell ref="C36:C37"/>
    <mergeCell ref="E36:E37"/>
    <mergeCell ref="F36:F37"/>
    <mergeCell ref="L47:Q47"/>
    <mergeCell ref="C7:H7"/>
    <mergeCell ref="C5:H5"/>
    <mergeCell ref="C6:H6"/>
    <mergeCell ref="B27:C27"/>
    <mergeCell ref="B13:I13"/>
    <mergeCell ref="N35:O35"/>
    <mergeCell ref="L33:O33"/>
    <mergeCell ref="L34:O34"/>
    <mergeCell ref="C46:D46"/>
    <mergeCell ref="L44:Q44"/>
    <mergeCell ref="L45:Q45"/>
    <mergeCell ref="L46:Q46"/>
    <mergeCell ref="P13:Q13"/>
    <mergeCell ref="G36:G37"/>
  </mergeCells>
  <phoneticPr fontId="2" type="noConversion"/>
  <dataValidations xWindow="544" yWindow="366" count="9">
    <dataValidation type="decimal" operator="greaterThanOrEqual" allowBlank="1" showInputMessage="1" showErrorMessage="1" prompt="Enter the total Construction Cost for the GI outlined in Step 2." sqref="L36" xr:uid="{00000000-0002-0000-0100-000000000000}">
      <formula1>0</formula1>
    </dataValidation>
    <dataValidation type="decimal" operator="greaterThanOrEqual" allowBlank="1" showInputMessage="1" showErrorMessage="1" prompt="Enter the total GI Engineering design cost outlined in Step 2." sqref="L37" xr:uid="{00000000-0002-0000-0100-000001000000}">
      <formula1>0</formula1>
    </dataValidation>
    <dataValidation type="decimal" operator="greaterThanOrEqual" allowBlank="1" showInputMessage="1" showErrorMessage="1" prompt="Enter the total cost for GI field testing outlined in Step 2." sqref="L38" xr:uid="{00000000-0002-0000-0100-000002000000}">
      <formula1>0</formula1>
    </dataValidation>
    <dataValidation type="decimal" allowBlank="1" showInputMessage="1" showErrorMessage="1" promptTitle="Capture Volume" prompt="Enter the capture volume, in inches from the contributing impervious area, for this Green Technology.  The value must be between 0.125 and 2 inches (if greater than 2 inches, enter 2)." sqref="H16:H25" xr:uid="{00000000-0002-0000-0100-000003000000}">
      <formula1>0.125</formula1>
      <formula2>2</formula2>
    </dataValidation>
    <dataValidation type="decimal" operator="greaterThanOrEqual" allowBlank="1" showInputMessage="1" showErrorMessage="1" promptTitle="GI Quantity" prompt="Enter the amount of this Green Technology being proposed.  The units MUST MATCH the units in Column 3." sqref="E16:E25" xr:uid="{00000000-0002-0000-0100-000004000000}">
      <formula1>0</formula1>
    </dataValidation>
    <dataValidation type="decimal" operator="greaterThanOrEqual" allowBlank="1" showInputMessage="1" showErrorMessage="1" prompt="Enter the amount of impervious area in square feet tributary to the proposed GI technology quantified in column 5.   " sqref="F16:F25" xr:uid="{00000000-0002-0000-0100-000005000000}">
      <formula1>0</formula1>
    </dataValidation>
    <dataValidation type="decimal" operator="greaterThanOrEqual" allowBlank="1" showInputMessage="1" showErrorMessage="1" prompt="If any additional construction costs associated with the GI, input here." sqref="C29:C34" xr:uid="{00000000-0002-0000-0100-000006000000}">
      <formula1>0</formula1>
    </dataValidation>
    <dataValidation allowBlank="1" showInputMessage="1" showErrorMessage="1" promptTitle="Project Name" prompt="Enter project name." sqref="C5:H5 C8:H8" xr:uid="{00000000-0002-0000-0100-000007000000}"/>
    <dataValidation operator="greaterThanOrEqual" allowBlank="1" showInputMessage="1" showErrorMessage="1" prompt="Enter the total cost for GI field testing outlined in Step 2." sqref="L39" xr:uid="{5C08B3F9-56DE-46B2-835B-D73AF9BBCC25}"/>
  </dataValidations>
  <pageMargins left="0.66" right="0.5" top="1" bottom="1" header="0.5" footer="0.5"/>
  <pageSetup paperSize="17" scale="65" orientation="landscape"/>
  <headerFooter alignWithMargins="0"/>
  <rowBreaks count="1" manualBreakCount="1">
    <brk id="32" min="1" max="16" man="1"/>
  </rowBreaks>
  <colBreaks count="1" manualBreakCount="1">
    <brk id="14" min="1" max="47" man="1"/>
  </colBreaks>
  <extLst>
    <ext xmlns:x14="http://schemas.microsoft.com/office/spreadsheetml/2009/9/main" uri="{CCE6A557-97BC-4b89-ADB6-D9C93CAAB3DF}">
      <x14:dataValidations xmlns:xm="http://schemas.microsoft.com/office/excel/2006/main" xWindow="544" yWindow="366" count="2">
        <x14:dataValidation type="list" allowBlank="1" showInputMessage="1" showErrorMessage="1" promptTitle="Green Technology" prompt="Select the appropriate Green Technology from the drop down list." xr:uid="{00000000-0002-0000-0100-000008000000}">
          <x14:formula1>
            <xm:f>LOOKUPS!$B$3:$B$13</xm:f>
          </x14:formula1>
          <xm:sqref>B16:B25</xm:sqref>
        </x14:dataValidation>
        <x14:dataValidation type="list" allowBlank="1" showInputMessage="1" showErrorMessage="1" promptTitle="Project Location" prompt="Select project location from drop down list." xr:uid="{00000000-0002-0000-0100-000009000000}">
          <x14:formula1>
            <xm:f>LOOKUPS!$G$3:$G$9</xm:f>
          </x14:formula1>
          <xm:sqref>C6:H6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44"/>
    <pageSetUpPr fitToPage="1"/>
  </sheetPr>
  <dimension ref="B1:L42"/>
  <sheetViews>
    <sheetView topLeftCell="A5" workbookViewId="0">
      <selection activeCell="G10" sqref="G10:H10"/>
    </sheetView>
  </sheetViews>
  <sheetFormatPr defaultRowHeight="13.2" x14ac:dyDescent="0.25"/>
  <cols>
    <col min="1" max="1" width="5.6640625" customWidth="1"/>
    <col min="2" max="2" width="28" customWidth="1"/>
    <col min="3" max="3" width="43.33203125" customWidth="1"/>
    <col min="4" max="4" width="8.33203125" customWidth="1"/>
    <col min="5" max="5" width="8.6640625" bestFit="1" customWidth="1"/>
    <col min="6" max="6" width="5.6640625" customWidth="1"/>
    <col min="7" max="7" width="13" customWidth="1"/>
    <col min="8" max="8" width="10.44140625" customWidth="1"/>
    <col min="9" max="9" width="5.6640625" customWidth="1"/>
    <col min="10" max="10" width="13" customWidth="1"/>
    <col min="11" max="11" width="8.33203125" customWidth="1"/>
  </cols>
  <sheetData>
    <row r="1" spans="2:12" ht="13.8" thickBot="1" x14ac:dyDescent="0.3"/>
    <row r="2" spans="2:12" ht="40.950000000000003" customHeight="1" thickBot="1" x14ac:dyDescent="0.3">
      <c r="B2" s="49" t="s">
        <v>10</v>
      </c>
      <c r="C2" s="50" t="s">
        <v>70</v>
      </c>
      <c r="D2" s="51" t="s">
        <v>8</v>
      </c>
      <c r="E2" s="52" t="s">
        <v>9</v>
      </c>
      <c r="F2" s="1"/>
      <c r="G2" s="53" t="s">
        <v>85</v>
      </c>
      <c r="H2" s="54" t="s">
        <v>86</v>
      </c>
      <c r="I2" s="1"/>
      <c r="J2" s="277" t="s">
        <v>113</v>
      </c>
      <c r="K2" s="278"/>
    </row>
    <row r="3" spans="2:12" ht="45.6" customHeight="1" thickBot="1" x14ac:dyDescent="0.3">
      <c r="B3" s="25" t="s">
        <v>11</v>
      </c>
      <c r="C3" s="26" t="s">
        <v>71</v>
      </c>
      <c r="D3" s="27" t="s">
        <v>15</v>
      </c>
      <c r="E3" s="28">
        <v>10</v>
      </c>
      <c r="F3" s="1"/>
      <c r="G3" s="236" t="s">
        <v>148</v>
      </c>
      <c r="H3" s="35" t="s">
        <v>88</v>
      </c>
      <c r="I3" s="1"/>
      <c r="J3" s="29" t="s">
        <v>114</v>
      </c>
      <c r="K3" s="30" t="s">
        <v>125</v>
      </c>
      <c r="L3" s="1"/>
    </row>
    <row r="4" spans="2:12" ht="43.95" customHeight="1" thickBot="1" x14ac:dyDescent="0.3">
      <c r="B4" s="31" t="s">
        <v>24</v>
      </c>
      <c r="C4" s="32" t="s">
        <v>72</v>
      </c>
      <c r="D4" s="33" t="s">
        <v>15</v>
      </c>
      <c r="E4" s="28">
        <v>15</v>
      </c>
      <c r="F4" s="1"/>
      <c r="G4" s="236" t="s">
        <v>149</v>
      </c>
      <c r="H4" s="35" t="s">
        <v>88</v>
      </c>
      <c r="I4" s="1"/>
      <c r="J4" s="34" t="s">
        <v>87</v>
      </c>
      <c r="K4" s="36">
        <v>4</v>
      </c>
      <c r="L4" s="1"/>
    </row>
    <row r="5" spans="2:12" ht="106.2" thickBot="1" x14ac:dyDescent="0.3">
      <c r="B5" s="25" t="s">
        <v>12</v>
      </c>
      <c r="C5" s="26" t="s">
        <v>82</v>
      </c>
      <c r="D5" s="27" t="s">
        <v>15</v>
      </c>
      <c r="E5" s="28">
        <v>25</v>
      </c>
      <c r="F5" s="1"/>
      <c r="G5" s="237" t="s">
        <v>152</v>
      </c>
      <c r="H5" s="35" t="s">
        <v>98</v>
      </c>
      <c r="I5" s="1"/>
      <c r="J5" s="34" t="s">
        <v>88</v>
      </c>
      <c r="K5" s="36">
        <v>8</v>
      </c>
      <c r="L5" s="1"/>
    </row>
    <row r="6" spans="2:12" ht="72.599999999999994" customHeight="1" thickBot="1" x14ac:dyDescent="0.3">
      <c r="B6" s="31" t="s">
        <v>1</v>
      </c>
      <c r="C6" s="32" t="s">
        <v>83</v>
      </c>
      <c r="D6" s="33" t="s">
        <v>15</v>
      </c>
      <c r="E6" s="28">
        <f>VLOOKUP(K7,J4:K6,2,FALSE)</f>
        <v>8</v>
      </c>
      <c r="F6" s="1"/>
      <c r="G6" s="236" t="s">
        <v>150</v>
      </c>
      <c r="H6" s="35" t="s">
        <v>88</v>
      </c>
      <c r="I6" s="1"/>
      <c r="J6" s="34" t="s">
        <v>98</v>
      </c>
      <c r="K6" s="36">
        <v>12</v>
      </c>
      <c r="L6" s="1"/>
    </row>
    <row r="7" spans="2:12" ht="71.400000000000006" customHeight="1" thickBot="1" x14ac:dyDescent="0.3">
      <c r="B7" s="25" t="s">
        <v>0</v>
      </c>
      <c r="C7" s="26" t="s">
        <v>84</v>
      </c>
      <c r="D7" s="27" t="s">
        <v>15</v>
      </c>
      <c r="E7" s="28">
        <v>12</v>
      </c>
      <c r="F7" s="1"/>
      <c r="G7" s="236" t="s">
        <v>151</v>
      </c>
      <c r="H7" s="35" t="s">
        <v>98</v>
      </c>
      <c r="I7" s="1"/>
      <c r="J7" s="37" t="s">
        <v>124</v>
      </c>
      <c r="K7" s="55" t="str">
        <f>T('StormwaterBenefits&amp;FundingLimit'!C7:H7)</f>
        <v>Medium</v>
      </c>
      <c r="L7" s="1"/>
    </row>
    <row r="8" spans="2:12" ht="43.2" customHeight="1" thickBot="1" x14ac:dyDescent="0.3">
      <c r="B8" s="31" t="s">
        <v>13</v>
      </c>
      <c r="C8" s="32" t="s">
        <v>80</v>
      </c>
      <c r="D8" s="33" t="s">
        <v>16</v>
      </c>
      <c r="E8" s="28">
        <v>400</v>
      </c>
      <c r="F8" s="1"/>
      <c r="G8" s="237" t="s">
        <v>153</v>
      </c>
      <c r="H8" s="35" t="s">
        <v>88</v>
      </c>
      <c r="I8" s="1"/>
      <c r="J8" s="1"/>
      <c r="K8" s="1"/>
      <c r="L8" s="38"/>
    </row>
    <row r="9" spans="2:12" ht="40.200000000000003" thickBot="1" x14ac:dyDescent="0.3">
      <c r="B9" s="25" t="s">
        <v>58</v>
      </c>
      <c r="C9" s="26" t="s">
        <v>73</v>
      </c>
      <c r="D9" s="27" t="s">
        <v>15</v>
      </c>
      <c r="E9" s="28">
        <v>25</v>
      </c>
      <c r="F9" s="1"/>
      <c r="G9" s="237" t="s">
        <v>154</v>
      </c>
      <c r="H9" s="35" t="s">
        <v>88</v>
      </c>
      <c r="I9" s="1"/>
      <c r="J9" s="1"/>
      <c r="K9" s="1"/>
      <c r="L9" s="38"/>
    </row>
    <row r="10" spans="2:12" ht="27" thickBot="1" x14ac:dyDescent="0.3">
      <c r="B10" s="39" t="s">
        <v>115</v>
      </c>
      <c r="C10" s="32" t="s">
        <v>74</v>
      </c>
      <c r="D10" s="33" t="s">
        <v>23</v>
      </c>
      <c r="E10" s="28">
        <v>10</v>
      </c>
      <c r="F10" s="1"/>
      <c r="G10" s="1"/>
      <c r="H10" s="1"/>
      <c r="I10" s="1"/>
      <c r="J10" s="38"/>
    </row>
    <row r="11" spans="2:12" ht="27" thickBot="1" x14ac:dyDescent="0.3">
      <c r="B11" s="40" t="s">
        <v>62</v>
      </c>
      <c r="C11" s="26" t="s">
        <v>75</v>
      </c>
      <c r="D11" s="27" t="s">
        <v>23</v>
      </c>
      <c r="E11" s="28">
        <v>10</v>
      </c>
      <c r="F11" s="1"/>
      <c r="I11" s="1"/>
      <c r="J11" s="1"/>
      <c r="K11" s="1"/>
      <c r="L11" s="1"/>
    </row>
    <row r="12" spans="2:12" ht="58.2" customHeight="1" thickBot="1" x14ac:dyDescent="0.3">
      <c r="B12" s="25" t="s">
        <v>14</v>
      </c>
      <c r="C12" s="26" t="s">
        <v>81</v>
      </c>
      <c r="D12" s="27" t="s">
        <v>15</v>
      </c>
      <c r="E12" s="28">
        <v>5</v>
      </c>
      <c r="F12" s="1"/>
      <c r="I12" s="1"/>
      <c r="J12" s="1"/>
      <c r="K12" s="1"/>
      <c r="L12" s="1"/>
    </row>
    <row r="13" spans="2:12" ht="70.2" customHeight="1" thickBot="1" x14ac:dyDescent="0.3">
      <c r="B13" s="56" t="s">
        <v>61</v>
      </c>
      <c r="C13" s="41" t="s">
        <v>76</v>
      </c>
      <c r="D13" s="42" t="s">
        <v>23</v>
      </c>
      <c r="E13" s="43">
        <v>10</v>
      </c>
      <c r="F13" s="1"/>
      <c r="I13" s="1"/>
      <c r="J13" s="1"/>
      <c r="K13" s="1"/>
      <c r="L13" s="1"/>
    </row>
    <row r="14" spans="2:12" x14ac:dyDescent="0.25">
      <c r="B14" s="1"/>
      <c r="C14" s="1"/>
      <c r="D14" s="1"/>
      <c r="E14" s="1"/>
      <c r="F14" s="1"/>
      <c r="I14" s="1"/>
      <c r="J14" s="44"/>
      <c r="K14" s="44"/>
      <c r="L14" s="1"/>
    </row>
    <row r="15" spans="2:12" x14ac:dyDescent="0.25">
      <c r="B15" s="1"/>
      <c r="C15" s="1"/>
      <c r="D15" s="1"/>
      <c r="E15" s="1"/>
      <c r="F15" s="1"/>
      <c r="I15" s="1"/>
      <c r="J15" s="45"/>
      <c r="K15" s="46"/>
      <c r="L15" s="1"/>
    </row>
    <row r="16" spans="2:12" x14ac:dyDescent="0.25">
      <c r="B16" s="1"/>
      <c r="C16" s="1"/>
      <c r="D16" s="1"/>
      <c r="E16" s="1"/>
      <c r="F16" s="1"/>
      <c r="I16" s="1"/>
      <c r="J16" s="17"/>
      <c r="K16" s="24"/>
      <c r="L16" s="1"/>
    </row>
    <row r="17" spans="2:12" x14ac:dyDescent="0.25">
      <c r="B17" s="1"/>
      <c r="C17" s="1"/>
      <c r="D17" s="1"/>
      <c r="E17" s="1"/>
      <c r="F17" s="1"/>
      <c r="I17" s="1"/>
      <c r="J17" s="17"/>
      <c r="K17" s="24"/>
      <c r="L17" s="1"/>
    </row>
    <row r="18" spans="2:12" x14ac:dyDescent="0.25">
      <c r="B18" s="1"/>
      <c r="C18" s="1"/>
      <c r="D18" s="1"/>
      <c r="E18" s="1"/>
      <c r="F18" s="1"/>
      <c r="I18" s="1"/>
      <c r="J18" s="17"/>
      <c r="K18" s="24"/>
      <c r="L18" s="1"/>
    </row>
    <row r="19" spans="2:12" x14ac:dyDescent="0.25">
      <c r="B19" s="1"/>
      <c r="C19" s="1"/>
      <c r="D19" s="1"/>
      <c r="E19" s="1"/>
      <c r="F19" s="1"/>
      <c r="I19" s="1"/>
      <c r="J19" s="17"/>
      <c r="K19" s="24"/>
      <c r="L19" s="1"/>
    </row>
    <row r="20" spans="2:12" x14ac:dyDescent="0.25">
      <c r="B20" s="1"/>
      <c r="C20" s="1"/>
      <c r="D20" s="1"/>
      <c r="E20" s="1"/>
      <c r="F20" s="1"/>
      <c r="I20" s="1"/>
      <c r="J20" s="1"/>
      <c r="K20" s="1"/>
      <c r="L20" s="1"/>
    </row>
    <row r="21" spans="2:12" x14ac:dyDescent="0.25">
      <c r="B21" s="1"/>
      <c r="C21" s="1"/>
      <c r="D21" s="47"/>
      <c r="E21" s="47"/>
      <c r="F21" s="1"/>
      <c r="I21" s="1"/>
      <c r="J21" s="1"/>
      <c r="K21" s="1"/>
      <c r="L21" s="1"/>
    </row>
    <row r="22" spans="2:12" x14ac:dyDescent="0.25">
      <c r="B22" s="1"/>
      <c r="C22" s="1"/>
      <c r="D22" s="48"/>
      <c r="E22" s="47"/>
      <c r="F22" s="1"/>
      <c r="I22" s="1"/>
      <c r="J22" s="1"/>
      <c r="K22" s="1"/>
      <c r="L22" s="1"/>
    </row>
    <row r="23" spans="2:12" x14ac:dyDescent="0.25">
      <c r="B23" s="1"/>
      <c r="C23" s="1"/>
      <c r="D23" s="47"/>
      <c r="E23" s="47"/>
      <c r="F23" s="1"/>
      <c r="I23" s="1"/>
      <c r="J23" s="1"/>
      <c r="K23" s="1"/>
      <c r="L23" s="1"/>
    </row>
    <row r="24" spans="2:12" x14ac:dyDescent="0.25">
      <c r="B24" s="1"/>
      <c r="C24" s="1"/>
      <c r="D24" s="47"/>
      <c r="E24" s="47"/>
      <c r="F24" s="1"/>
      <c r="I24" s="1"/>
      <c r="J24" s="1"/>
      <c r="K24" s="1"/>
      <c r="L24" s="1"/>
    </row>
    <row r="25" spans="2:12" x14ac:dyDescent="0.25">
      <c r="B25" s="1"/>
      <c r="C25" s="1"/>
      <c r="D25" s="1"/>
      <c r="E25" s="1"/>
      <c r="F25" s="1"/>
      <c r="I25" s="1"/>
      <c r="J25" s="1"/>
      <c r="K25" s="1"/>
      <c r="L25" s="1"/>
    </row>
    <row r="26" spans="2:12" x14ac:dyDescent="0.25">
      <c r="B26" s="1"/>
      <c r="C26" s="1"/>
      <c r="D26" s="1"/>
      <c r="E26" s="1"/>
      <c r="F26" s="1"/>
      <c r="I26" s="1"/>
      <c r="J26" s="1"/>
      <c r="K26" s="1"/>
      <c r="L26" s="1"/>
    </row>
    <row r="27" spans="2:12" x14ac:dyDescent="0.25">
      <c r="B27" s="1"/>
      <c r="C27" s="1"/>
      <c r="D27" s="1"/>
      <c r="E27" s="1"/>
      <c r="F27" s="1"/>
      <c r="I27" s="1"/>
      <c r="J27" s="1"/>
      <c r="K27" s="1"/>
      <c r="L27" s="1"/>
    </row>
    <row r="28" spans="2:12" x14ac:dyDescent="0.25">
      <c r="B28" s="1"/>
      <c r="C28" s="1"/>
      <c r="D28" s="1"/>
      <c r="E28" s="1"/>
      <c r="F28" s="1"/>
      <c r="I28" s="1"/>
      <c r="J28" s="1"/>
      <c r="K28" s="1"/>
      <c r="L28" s="1"/>
    </row>
    <row r="29" spans="2:12" x14ac:dyDescent="0.25">
      <c r="B29" s="1"/>
      <c r="C29" s="1"/>
      <c r="D29" s="1"/>
      <c r="E29" s="1"/>
      <c r="F29" s="1"/>
      <c r="I29" s="1"/>
      <c r="J29" s="1"/>
      <c r="K29" s="1"/>
      <c r="L29" s="1"/>
    </row>
    <row r="30" spans="2:12" x14ac:dyDescent="0.25">
      <c r="B30" s="1"/>
      <c r="C30" s="1"/>
      <c r="D30" s="1"/>
      <c r="E30" s="1"/>
      <c r="F30" s="1"/>
      <c r="I30" s="1"/>
      <c r="J30" s="1"/>
      <c r="K30" s="1"/>
      <c r="L30" s="1"/>
    </row>
    <row r="31" spans="2:12" x14ac:dyDescent="0.25">
      <c r="B31" s="1"/>
      <c r="C31" s="1"/>
      <c r="D31" s="1"/>
      <c r="E31" s="1"/>
      <c r="F31" s="1"/>
      <c r="I31" s="1"/>
      <c r="J31" s="1"/>
      <c r="K31" s="1"/>
      <c r="L31" s="1"/>
    </row>
    <row r="32" spans="2:12" x14ac:dyDescent="0.25">
      <c r="B32" s="1"/>
      <c r="C32" s="1"/>
      <c r="D32" s="1"/>
      <c r="E32" s="1"/>
      <c r="F32" s="1"/>
      <c r="I32" s="1"/>
      <c r="J32" s="1"/>
      <c r="K32" s="1"/>
      <c r="L32" s="1"/>
    </row>
    <row r="33" spans="2:12" x14ac:dyDescent="0.25">
      <c r="B33" s="1"/>
      <c r="C33" s="1"/>
      <c r="D33" s="1"/>
      <c r="E33" s="1"/>
      <c r="F33" s="1"/>
      <c r="I33" s="1"/>
      <c r="J33" s="1"/>
      <c r="K33" s="1"/>
      <c r="L33" s="1"/>
    </row>
    <row r="34" spans="2:12" x14ac:dyDescent="0.25">
      <c r="B34" s="1"/>
      <c r="C34" s="1"/>
      <c r="D34" s="1"/>
      <c r="E34" s="1"/>
      <c r="F34" s="1"/>
      <c r="I34" s="1"/>
      <c r="J34" s="1"/>
      <c r="K34" s="1"/>
      <c r="L34" s="1"/>
    </row>
    <row r="35" spans="2:12" x14ac:dyDescent="0.25">
      <c r="B35" s="1"/>
      <c r="C35" s="1"/>
      <c r="D35" s="1"/>
      <c r="E35" s="1"/>
      <c r="F35" s="1"/>
      <c r="I35" s="1"/>
      <c r="J35" s="1"/>
      <c r="K35" s="1"/>
      <c r="L35" s="1"/>
    </row>
    <row r="36" spans="2:12" x14ac:dyDescent="0.25">
      <c r="B36" s="1"/>
      <c r="C36" s="1"/>
      <c r="D36" s="1"/>
      <c r="E36" s="1"/>
      <c r="F36" s="1"/>
      <c r="I36" s="1"/>
      <c r="J36" s="1"/>
      <c r="K36" s="1"/>
      <c r="L36" s="1"/>
    </row>
    <row r="37" spans="2:12" x14ac:dyDescent="0.25">
      <c r="B37" s="1"/>
      <c r="C37" s="1"/>
      <c r="D37" s="1"/>
      <c r="E37" s="1"/>
      <c r="F37" s="1"/>
      <c r="I37" s="1"/>
      <c r="J37" s="1"/>
      <c r="K37" s="1"/>
      <c r="L37" s="1"/>
    </row>
    <row r="38" spans="2:12" x14ac:dyDescent="0.25">
      <c r="B38" s="1"/>
      <c r="C38" s="1"/>
      <c r="D38" s="1"/>
      <c r="E38" s="1"/>
      <c r="F38" s="1"/>
      <c r="I38" s="1"/>
      <c r="J38" s="1"/>
    </row>
    <row r="39" spans="2:12" x14ac:dyDescent="0.25">
      <c r="B39" s="1"/>
      <c r="C39" s="1"/>
      <c r="D39" s="1"/>
      <c r="E39" s="1"/>
      <c r="F39" s="1"/>
      <c r="I39" s="1"/>
      <c r="J39" s="1"/>
      <c r="K39" s="1"/>
      <c r="L39" s="1"/>
    </row>
    <row r="40" spans="2:12" x14ac:dyDescent="0.25">
      <c r="B40" s="1"/>
      <c r="C40" s="1"/>
      <c r="D40" s="1"/>
      <c r="E40" s="1"/>
      <c r="F40" s="1"/>
      <c r="I40" s="1"/>
      <c r="J40" s="1"/>
      <c r="K40" s="1"/>
      <c r="L40" s="1"/>
    </row>
    <row r="41" spans="2:12" x14ac:dyDescent="0.25">
      <c r="B41" s="1"/>
      <c r="C41" s="1"/>
      <c r="D41" s="1"/>
      <c r="E41" s="1"/>
      <c r="F41" s="1"/>
      <c r="I41" s="1"/>
      <c r="J41" s="1"/>
      <c r="K41" s="1"/>
      <c r="L41" s="1"/>
    </row>
    <row r="42" spans="2:12" x14ac:dyDescent="0.25">
      <c r="B42" s="1"/>
      <c r="C42" s="1"/>
      <c r="D42" s="1"/>
      <c r="E42" s="1"/>
      <c r="F42" s="1"/>
      <c r="I42" s="1"/>
      <c r="J42" s="1"/>
      <c r="K42" s="1"/>
      <c r="L42" s="1"/>
    </row>
  </sheetData>
  <mergeCells count="1">
    <mergeCell ref="J2:K2"/>
  </mergeCells>
  <phoneticPr fontId="2" type="noConversion"/>
  <dataValidations count="1">
    <dataValidation allowBlank="1" showInputMessage="1" showErrorMessage="1" prompt="The following box is used in conjunction with the the above table, to determine the unit cost for Green Roofs, based on the site's Priority Level. " sqref="J7:K7" xr:uid="{00000000-0002-0000-0200-000000000000}"/>
  </dataValidations>
  <pageMargins left="0.7" right="0.7" top="0.75" bottom="0.75" header="0.3" footer="0.3"/>
  <pageSetup scale="65"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Description0 xmlns="a8a2c094-c000-415c-944a-15ad6bb8da7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C785A03E8587445A31D151710818921" ma:contentTypeVersion="2" ma:contentTypeDescription="Create a new document." ma:contentTypeScope="" ma:versionID="cf36a1bd379d1fec0fd0b945306b2393">
  <xsd:schema xmlns:xsd="http://www.w3.org/2001/XMLSchema" xmlns:xs="http://www.w3.org/2001/XMLSchema" xmlns:p="http://schemas.microsoft.com/office/2006/metadata/properties" xmlns:ns2="a8a2c094-c000-415c-944a-15ad6bb8da75" targetNamespace="http://schemas.microsoft.com/office/2006/metadata/properties" ma:root="true" ma:fieldsID="4493bd468fac26aaf5d692ca8805610e" ns2:_="">
    <xsd:import namespace="a8a2c094-c000-415c-944a-15ad6bb8da75"/>
    <xsd:element name="properties">
      <xsd:complexType>
        <xsd:sequence>
          <xsd:element name="documentManagement">
            <xsd:complexType>
              <xsd:all>
                <xsd:element ref="ns2:Description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a2c094-c000-415c-944a-15ad6bb8da75" elementFormDefault="qualified">
    <xsd:import namespace="http://schemas.microsoft.com/office/2006/documentManagement/types"/>
    <xsd:import namespace="http://schemas.microsoft.com/office/infopath/2007/PartnerControls"/>
    <xsd:element name="Description0" ma:index="8" nillable="true" ma:displayName="Description" ma:internalName="Description0">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4ED95C-D2BE-4F32-823F-8615E236DC61}">
  <ds:schemaRefs>
    <ds:schemaRef ds:uri="http://schemas.microsoft.com/office/infopath/2007/PartnerControls"/>
    <ds:schemaRef ds:uri="http://purl.org/dc/elements/1.1/"/>
    <ds:schemaRef ds:uri="http://purl.org/dc/dcmitype/"/>
    <ds:schemaRef ds:uri="http://www.w3.org/XML/1998/namespace"/>
    <ds:schemaRef ds:uri="http://schemas.microsoft.com/office/2006/documentManagement/types"/>
    <ds:schemaRef ds:uri="http://schemas.microsoft.com/office/2006/metadata/properties"/>
    <ds:schemaRef ds:uri="http://purl.org/dc/terms/"/>
    <ds:schemaRef ds:uri="http://schemas.openxmlformats.org/package/2006/metadata/core-properties"/>
    <ds:schemaRef ds:uri="a8a2c094-c000-415c-944a-15ad6bb8da75"/>
  </ds:schemaRefs>
</ds:datastoreItem>
</file>

<file path=customXml/itemProps2.xml><?xml version="1.0" encoding="utf-8"?>
<ds:datastoreItem xmlns:ds="http://schemas.openxmlformats.org/officeDocument/2006/customXml" ds:itemID="{2D77868C-B70A-43AB-9F12-1B7C4C73BB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a2c094-c000-415c-944a-15ad6bb8da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94B571-E2DC-4847-A02C-0C218711A0D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Instructions</vt:lpstr>
      <vt:lpstr>StormwaterBenefits&amp;FundingLimit</vt:lpstr>
      <vt:lpstr>LOOKUPS</vt:lpstr>
      <vt:lpstr>CSO_Basin</vt:lpstr>
      <vt:lpstr>CSO_Basins</vt:lpstr>
      <vt:lpstr>Instructions!Print_Area</vt:lpstr>
      <vt:lpstr>LOOKUPS!Print_Area</vt:lpstr>
      <vt:lpstr>'StormwaterBenefits&amp;FundingLimit'!Print_Area</vt:lpstr>
    </vt:vector>
  </TitlesOfParts>
  <Manager>Paul Legnetto, Matthew Marko</Manager>
  <Company>Onondaga County, CH2M Hill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GIF Funding Calculator</dc:title>
  <dc:creator>Potts, Andrew/PHL;PaulLegnetto@ongov.net</dc:creator>
  <cp:keywords>Onondaga County</cp:keywords>
  <cp:lastModifiedBy>Monge, Zachary/SYR</cp:lastModifiedBy>
  <cp:lastPrinted>2013-11-13T13:25:22Z</cp:lastPrinted>
  <dcterms:created xsi:type="dcterms:W3CDTF">2009-06-23T01:34:48Z</dcterms:created>
  <dcterms:modified xsi:type="dcterms:W3CDTF">2019-04-10T20:30:19Z</dcterms:modified>
  <cp:category>Save the Rain Program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0x0101005C785A03E8587445A31D151710818921</vt:lpwstr>
  </property>
</Properties>
</file>